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63972\Documents\122021\"/>
    </mc:Choice>
  </mc:AlternateContent>
  <xr:revisionPtr revIDLastSave="0" documentId="8_{7A634751-C1B3-40A6-BB5B-A2209E5F3B93}" xr6:coauthVersionLast="47" xr6:coauthVersionMax="47" xr10:uidLastSave="{00000000-0000-0000-0000-000000000000}"/>
  <bookViews>
    <workbookView xWindow="0" yWindow="0" windowWidth="20490" windowHeight="11520"/>
  </bookViews>
  <sheets>
    <sheet name="SQLT0002" sheetId="1" r:id="rId1"/>
  </sheets>
  <calcPr calcId="0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A1001" i="1"/>
  <c r="B1001" i="1"/>
  <c r="C1001" i="1"/>
  <c r="D1001" i="1"/>
  <c r="A1002" i="1"/>
  <c r="B1002" i="1"/>
  <c r="C1002" i="1"/>
  <c r="D1002" i="1"/>
  <c r="A1003" i="1"/>
  <c r="B1003" i="1"/>
  <c r="C1003" i="1"/>
  <c r="D1003" i="1"/>
  <c r="A1004" i="1"/>
  <c r="B1004" i="1"/>
  <c r="C1004" i="1"/>
  <c r="D1004" i="1"/>
  <c r="A1005" i="1"/>
  <c r="B1005" i="1"/>
  <c r="C1005" i="1"/>
  <c r="D1005" i="1"/>
  <c r="A1006" i="1"/>
  <c r="B1006" i="1"/>
  <c r="C1006" i="1"/>
  <c r="D1006" i="1"/>
  <c r="A1007" i="1"/>
  <c r="B1007" i="1"/>
  <c r="C1007" i="1"/>
  <c r="D1007" i="1"/>
  <c r="A1008" i="1"/>
  <c r="B1008" i="1"/>
  <c r="C1008" i="1"/>
  <c r="D1008" i="1"/>
  <c r="A1009" i="1"/>
  <c r="B1009" i="1"/>
  <c r="C1009" i="1"/>
  <c r="D1009" i="1"/>
  <c r="A1010" i="1"/>
  <c r="B1010" i="1"/>
  <c r="C1010" i="1"/>
  <c r="D1010" i="1"/>
  <c r="A1011" i="1"/>
  <c r="B1011" i="1"/>
  <c r="C1011" i="1"/>
  <c r="D1011" i="1"/>
  <c r="A1012" i="1"/>
  <c r="B1012" i="1"/>
  <c r="C1012" i="1"/>
  <c r="D1012" i="1"/>
  <c r="A1013" i="1"/>
  <c r="B1013" i="1"/>
  <c r="C1013" i="1"/>
  <c r="D1013" i="1"/>
  <c r="A1014" i="1"/>
  <c r="B1014" i="1"/>
  <c r="C1014" i="1"/>
  <c r="D1014" i="1"/>
  <c r="A1015" i="1"/>
  <c r="B1015" i="1"/>
  <c r="C1015" i="1"/>
  <c r="D1015" i="1"/>
  <c r="A1016" i="1"/>
  <c r="B1016" i="1"/>
  <c r="C1016" i="1"/>
  <c r="D1016" i="1"/>
  <c r="A1017" i="1"/>
  <c r="B1017" i="1"/>
  <c r="C1017" i="1"/>
  <c r="D1017" i="1"/>
  <c r="A1018" i="1"/>
  <c r="B1018" i="1"/>
  <c r="C1018" i="1"/>
  <c r="D1018" i="1"/>
  <c r="A1019" i="1"/>
  <c r="B1019" i="1"/>
  <c r="C1019" i="1"/>
  <c r="D1019" i="1"/>
  <c r="A1020" i="1"/>
  <c r="B1020" i="1"/>
  <c r="C1020" i="1"/>
  <c r="D1020" i="1"/>
  <c r="A1021" i="1"/>
  <c r="B1021" i="1"/>
  <c r="C1021" i="1"/>
  <c r="D1021" i="1"/>
  <c r="A1022" i="1"/>
  <c r="B1022" i="1"/>
  <c r="C1022" i="1"/>
  <c r="D1022" i="1"/>
  <c r="A1023" i="1"/>
  <c r="B1023" i="1"/>
  <c r="C1023" i="1"/>
  <c r="D1023" i="1"/>
  <c r="A1024" i="1"/>
  <c r="B1024" i="1"/>
  <c r="C1024" i="1"/>
  <c r="D1024" i="1"/>
  <c r="A1025" i="1"/>
  <c r="B1025" i="1"/>
  <c r="C1025" i="1"/>
  <c r="D1025" i="1"/>
  <c r="A1026" i="1"/>
  <c r="B1026" i="1"/>
  <c r="C1026" i="1"/>
  <c r="D1026" i="1"/>
  <c r="A1027" i="1"/>
  <c r="B1027" i="1"/>
  <c r="C1027" i="1"/>
  <c r="D1027" i="1"/>
  <c r="A1028" i="1"/>
  <c r="B1028" i="1"/>
  <c r="C1028" i="1"/>
  <c r="D1028" i="1"/>
  <c r="A1029" i="1"/>
  <c r="B1029" i="1"/>
  <c r="C1029" i="1"/>
  <c r="D1029" i="1"/>
  <c r="A1030" i="1"/>
  <c r="B1030" i="1"/>
  <c r="C1030" i="1"/>
  <c r="D1030" i="1"/>
  <c r="A1031" i="1"/>
  <c r="B1031" i="1"/>
  <c r="C1031" i="1"/>
  <c r="D1031" i="1"/>
  <c r="A1032" i="1"/>
  <c r="B1032" i="1"/>
  <c r="C1032" i="1"/>
  <c r="D1032" i="1"/>
  <c r="A1033" i="1"/>
  <c r="B1033" i="1"/>
  <c r="C1033" i="1"/>
  <c r="D1033" i="1"/>
  <c r="A1034" i="1"/>
  <c r="B1034" i="1"/>
  <c r="C1034" i="1"/>
  <c r="D1034" i="1"/>
  <c r="A1035" i="1"/>
  <c r="B1035" i="1"/>
  <c r="C1035" i="1"/>
  <c r="D1035" i="1"/>
  <c r="A1036" i="1"/>
  <c r="B1036" i="1"/>
  <c r="C1036" i="1"/>
  <c r="D1036" i="1"/>
  <c r="A1037" i="1"/>
  <c r="B1037" i="1"/>
  <c r="C1037" i="1"/>
  <c r="D1037" i="1"/>
  <c r="A1038" i="1"/>
  <c r="B1038" i="1"/>
  <c r="C1038" i="1"/>
  <c r="D1038" i="1"/>
  <c r="A1039" i="1"/>
  <c r="B1039" i="1"/>
  <c r="C1039" i="1"/>
  <c r="D1039" i="1"/>
  <c r="A1040" i="1"/>
  <c r="B1040" i="1"/>
  <c r="C1040" i="1"/>
  <c r="D1040" i="1"/>
  <c r="A1041" i="1"/>
  <c r="B1041" i="1"/>
  <c r="C1041" i="1"/>
  <c r="D1041" i="1"/>
  <c r="A1042" i="1"/>
  <c r="B1042" i="1"/>
  <c r="C1042" i="1"/>
  <c r="D1042" i="1"/>
  <c r="A1043" i="1"/>
  <c r="B1043" i="1"/>
  <c r="C1043" i="1"/>
  <c r="D1043" i="1"/>
  <c r="A1044" i="1"/>
  <c r="B1044" i="1"/>
  <c r="C1044" i="1"/>
  <c r="D1044" i="1"/>
  <c r="A1045" i="1"/>
  <c r="B1045" i="1"/>
  <c r="C1045" i="1"/>
  <c r="D1045" i="1"/>
  <c r="A1046" i="1"/>
  <c r="B1046" i="1"/>
  <c r="C1046" i="1"/>
  <c r="D1046" i="1"/>
  <c r="A1047" i="1"/>
  <c r="B1047" i="1"/>
  <c r="C1047" i="1"/>
  <c r="D1047" i="1"/>
  <c r="A1048" i="1"/>
  <c r="B1048" i="1"/>
  <c r="C1048" i="1"/>
  <c r="D1048" i="1"/>
  <c r="A1049" i="1"/>
  <c r="B1049" i="1"/>
  <c r="C1049" i="1"/>
  <c r="D1049" i="1"/>
  <c r="A1050" i="1"/>
  <c r="B1050" i="1"/>
  <c r="C1050" i="1"/>
  <c r="D1050" i="1"/>
  <c r="A1051" i="1"/>
  <c r="B1051" i="1"/>
  <c r="C1051" i="1"/>
  <c r="D1051" i="1"/>
  <c r="A1052" i="1"/>
  <c r="B1052" i="1"/>
  <c r="C1052" i="1"/>
  <c r="D1052" i="1"/>
  <c r="A1053" i="1"/>
  <c r="B1053" i="1"/>
  <c r="C1053" i="1"/>
  <c r="D1053" i="1"/>
  <c r="A1054" i="1"/>
  <c r="B1054" i="1"/>
  <c r="C1054" i="1"/>
  <c r="D1054" i="1"/>
  <c r="A1055" i="1"/>
  <c r="B1055" i="1"/>
  <c r="C1055" i="1"/>
  <c r="D1055" i="1"/>
  <c r="A1056" i="1"/>
  <c r="B1056" i="1"/>
  <c r="C1056" i="1"/>
  <c r="D1056" i="1"/>
  <c r="A1057" i="1"/>
  <c r="B1057" i="1"/>
  <c r="C1057" i="1"/>
  <c r="D1057" i="1"/>
  <c r="A1058" i="1"/>
  <c r="B1058" i="1"/>
  <c r="C1058" i="1"/>
  <c r="D1058" i="1"/>
  <c r="A1059" i="1"/>
  <c r="B1059" i="1"/>
  <c r="C1059" i="1"/>
  <c r="D1059" i="1"/>
  <c r="A1060" i="1"/>
  <c r="B1060" i="1"/>
  <c r="C1060" i="1"/>
  <c r="D1060" i="1"/>
  <c r="A1061" i="1"/>
  <c r="B1061" i="1"/>
  <c r="C1061" i="1"/>
  <c r="D1061" i="1"/>
  <c r="A1062" i="1"/>
  <c r="B1062" i="1"/>
  <c r="C1062" i="1"/>
  <c r="D1062" i="1"/>
  <c r="A1063" i="1"/>
  <c r="B1063" i="1"/>
  <c r="C1063" i="1"/>
  <c r="D1063" i="1"/>
  <c r="A1064" i="1"/>
  <c r="B1064" i="1"/>
  <c r="C1064" i="1"/>
  <c r="D1064" i="1"/>
  <c r="A1065" i="1"/>
  <c r="B1065" i="1"/>
  <c r="C1065" i="1"/>
  <c r="D1065" i="1"/>
  <c r="A1066" i="1"/>
  <c r="B1066" i="1"/>
  <c r="C1066" i="1"/>
  <c r="D1066" i="1"/>
  <c r="A1067" i="1"/>
  <c r="B1067" i="1"/>
  <c r="C1067" i="1"/>
  <c r="D1067" i="1"/>
  <c r="A1068" i="1"/>
  <c r="B1068" i="1"/>
  <c r="C1068" i="1"/>
  <c r="D1068" i="1"/>
  <c r="A1069" i="1"/>
  <c r="B1069" i="1"/>
  <c r="C1069" i="1"/>
  <c r="D1069" i="1"/>
  <c r="A1070" i="1"/>
  <c r="B1070" i="1"/>
  <c r="C1070" i="1"/>
  <c r="D1070" i="1"/>
  <c r="A1071" i="1"/>
  <c r="B1071" i="1"/>
  <c r="C1071" i="1"/>
  <c r="D1071" i="1"/>
  <c r="A1072" i="1"/>
  <c r="B1072" i="1"/>
  <c r="C1072" i="1"/>
  <c r="D1072" i="1"/>
  <c r="A1073" i="1"/>
  <c r="B1073" i="1"/>
  <c r="C1073" i="1"/>
  <c r="D1073" i="1"/>
  <c r="A1074" i="1"/>
  <c r="B1074" i="1"/>
  <c r="C1074" i="1"/>
  <c r="D1074" i="1"/>
  <c r="A1075" i="1"/>
  <c r="B1075" i="1"/>
  <c r="C1075" i="1"/>
  <c r="D1075" i="1"/>
  <c r="A1076" i="1"/>
  <c r="B1076" i="1"/>
  <c r="C1076" i="1"/>
  <c r="D1076" i="1"/>
  <c r="A1077" i="1"/>
  <c r="B1077" i="1"/>
  <c r="C1077" i="1"/>
  <c r="D1077" i="1"/>
  <c r="A1078" i="1"/>
  <c r="B1078" i="1"/>
  <c r="C1078" i="1"/>
  <c r="D1078" i="1"/>
  <c r="A1079" i="1"/>
  <c r="B1079" i="1"/>
  <c r="C1079" i="1"/>
  <c r="D1079" i="1"/>
  <c r="A1080" i="1"/>
  <c r="B1080" i="1"/>
  <c r="C1080" i="1"/>
  <c r="D1080" i="1"/>
  <c r="A1081" i="1"/>
  <c r="B1081" i="1"/>
  <c r="C1081" i="1"/>
  <c r="D1081" i="1"/>
  <c r="A1082" i="1"/>
  <c r="B1082" i="1"/>
  <c r="C1082" i="1"/>
  <c r="D1082" i="1"/>
  <c r="A1083" i="1"/>
  <c r="B1083" i="1"/>
  <c r="C1083" i="1"/>
  <c r="D1083" i="1"/>
  <c r="A1084" i="1"/>
  <c r="B1084" i="1"/>
  <c r="C1084" i="1"/>
  <c r="D1084" i="1"/>
  <c r="A1085" i="1"/>
  <c r="B1085" i="1"/>
  <c r="C1085" i="1"/>
  <c r="D1085" i="1"/>
  <c r="A1086" i="1"/>
  <c r="B1086" i="1"/>
  <c r="C1086" i="1"/>
  <c r="D1086" i="1"/>
  <c r="A1087" i="1"/>
  <c r="B1087" i="1"/>
  <c r="C1087" i="1"/>
  <c r="D1087" i="1"/>
  <c r="A1088" i="1"/>
  <c r="B1088" i="1"/>
  <c r="C1088" i="1"/>
  <c r="D1088" i="1"/>
  <c r="A1089" i="1"/>
  <c r="B1089" i="1"/>
  <c r="C1089" i="1"/>
  <c r="D1089" i="1"/>
  <c r="A1090" i="1"/>
  <c r="B1090" i="1"/>
  <c r="C1090" i="1"/>
  <c r="D1090" i="1"/>
  <c r="A1091" i="1"/>
  <c r="B1091" i="1"/>
  <c r="C1091" i="1"/>
  <c r="D1091" i="1"/>
  <c r="A1092" i="1"/>
  <c r="B1092" i="1"/>
  <c r="C1092" i="1"/>
  <c r="D1092" i="1"/>
  <c r="A1093" i="1"/>
  <c r="B1093" i="1"/>
  <c r="C1093" i="1"/>
  <c r="D1093" i="1"/>
  <c r="A1094" i="1"/>
  <c r="B1094" i="1"/>
  <c r="C1094" i="1"/>
  <c r="D1094" i="1"/>
  <c r="A1095" i="1"/>
  <c r="B1095" i="1"/>
  <c r="C1095" i="1"/>
  <c r="D1095" i="1"/>
  <c r="A1096" i="1"/>
  <c r="B1096" i="1"/>
  <c r="C1096" i="1"/>
  <c r="D1096" i="1"/>
  <c r="A1097" i="1"/>
  <c r="B1097" i="1"/>
  <c r="C1097" i="1"/>
  <c r="D1097" i="1"/>
  <c r="A1098" i="1"/>
  <c r="B1098" i="1"/>
  <c r="C1098" i="1"/>
  <c r="D1098" i="1"/>
  <c r="A1099" i="1"/>
  <c r="B1099" i="1"/>
  <c r="C1099" i="1"/>
  <c r="D1099" i="1"/>
  <c r="A1100" i="1"/>
  <c r="B1100" i="1"/>
  <c r="C1100" i="1"/>
  <c r="D1100" i="1"/>
  <c r="A1101" i="1"/>
  <c r="B1101" i="1"/>
  <c r="C1101" i="1"/>
  <c r="D1101" i="1"/>
  <c r="A1102" i="1"/>
  <c r="B1102" i="1"/>
  <c r="C1102" i="1"/>
  <c r="D1102" i="1"/>
  <c r="A1103" i="1"/>
  <c r="B1103" i="1"/>
  <c r="C1103" i="1"/>
  <c r="D1103" i="1"/>
  <c r="A1104" i="1"/>
  <c r="B1104" i="1"/>
  <c r="C1104" i="1"/>
  <c r="D1104" i="1"/>
  <c r="A1105" i="1"/>
  <c r="B1105" i="1"/>
  <c r="C1105" i="1"/>
  <c r="D1105" i="1"/>
  <c r="A1106" i="1"/>
  <c r="B1106" i="1"/>
  <c r="C1106" i="1"/>
  <c r="D1106" i="1"/>
  <c r="A1107" i="1"/>
  <c r="B1107" i="1"/>
  <c r="C1107" i="1"/>
  <c r="D1107" i="1"/>
  <c r="A1108" i="1"/>
  <c r="B1108" i="1"/>
  <c r="C1108" i="1"/>
  <c r="D1108" i="1"/>
  <c r="A1109" i="1"/>
  <c r="B1109" i="1"/>
  <c r="C1109" i="1"/>
  <c r="D1109" i="1"/>
  <c r="A1110" i="1"/>
  <c r="B1110" i="1"/>
  <c r="C1110" i="1"/>
  <c r="D1110" i="1"/>
  <c r="A1111" i="1"/>
  <c r="B1111" i="1"/>
  <c r="C1111" i="1"/>
  <c r="D1111" i="1"/>
  <c r="A1112" i="1"/>
  <c r="B1112" i="1"/>
  <c r="C1112" i="1"/>
  <c r="D1112" i="1"/>
  <c r="A1113" i="1"/>
  <c r="B1113" i="1"/>
  <c r="C1113" i="1"/>
  <c r="D1113" i="1"/>
  <c r="A1114" i="1"/>
  <c r="B1114" i="1"/>
  <c r="C1114" i="1"/>
  <c r="D1114" i="1"/>
  <c r="A1115" i="1"/>
  <c r="B1115" i="1"/>
  <c r="C1115" i="1"/>
  <c r="D1115" i="1"/>
  <c r="A1116" i="1"/>
  <c r="B1116" i="1"/>
  <c r="C1116" i="1"/>
  <c r="D1116" i="1"/>
  <c r="A1117" i="1"/>
  <c r="B1117" i="1"/>
  <c r="C1117" i="1"/>
  <c r="D1117" i="1"/>
  <c r="A1118" i="1"/>
  <c r="B1118" i="1"/>
  <c r="C1118" i="1"/>
  <c r="D1118" i="1"/>
  <c r="A1119" i="1"/>
  <c r="B1119" i="1"/>
  <c r="C1119" i="1"/>
  <c r="D1119" i="1"/>
  <c r="A1120" i="1"/>
  <c r="B1120" i="1"/>
  <c r="C1120" i="1"/>
  <c r="D1120" i="1"/>
  <c r="A1121" i="1"/>
  <c r="B1121" i="1"/>
  <c r="C1121" i="1"/>
  <c r="D1121" i="1"/>
  <c r="A1122" i="1"/>
  <c r="B1122" i="1"/>
  <c r="C1122" i="1"/>
  <c r="D1122" i="1"/>
  <c r="A1123" i="1"/>
  <c r="B1123" i="1"/>
  <c r="C1123" i="1"/>
  <c r="D1123" i="1"/>
  <c r="A1124" i="1"/>
  <c r="B1124" i="1"/>
  <c r="C1124" i="1"/>
  <c r="D1124" i="1"/>
  <c r="A1125" i="1"/>
  <c r="B1125" i="1"/>
  <c r="C1125" i="1"/>
  <c r="D1125" i="1"/>
  <c r="A1126" i="1"/>
  <c r="B1126" i="1"/>
  <c r="C1126" i="1"/>
  <c r="D1126" i="1"/>
  <c r="A1127" i="1"/>
  <c r="B1127" i="1"/>
  <c r="C1127" i="1"/>
  <c r="D1127" i="1"/>
  <c r="A1128" i="1"/>
  <c r="B1128" i="1"/>
  <c r="C1128" i="1"/>
  <c r="D1128" i="1"/>
  <c r="A1129" i="1"/>
  <c r="B1129" i="1"/>
  <c r="C1129" i="1"/>
  <c r="D1129" i="1"/>
  <c r="A1130" i="1"/>
  <c r="B1130" i="1"/>
  <c r="C1130" i="1"/>
  <c r="D1130" i="1"/>
  <c r="A1131" i="1"/>
  <c r="B1131" i="1"/>
  <c r="C1131" i="1"/>
  <c r="D1131" i="1"/>
  <c r="A1132" i="1"/>
  <c r="B1132" i="1"/>
  <c r="C1132" i="1"/>
  <c r="D1132" i="1"/>
  <c r="A1133" i="1"/>
  <c r="B1133" i="1"/>
  <c r="C1133" i="1"/>
  <c r="D1133" i="1"/>
  <c r="A1134" i="1"/>
  <c r="B1134" i="1"/>
  <c r="C1134" i="1"/>
  <c r="D1134" i="1"/>
  <c r="A1135" i="1"/>
  <c r="B1135" i="1"/>
  <c r="C1135" i="1"/>
  <c r="D1135" i="1"/>
  <c r="A1136" i="1"/>
  <c r="B1136" i="1"/>
  <c r="C1136" i="1"/>
  <c r="D1136" i="1"/>
  <c r="A1137" i="1"/>
  <c r="B1137" i="1"/>
  <c r="C1137" i="1"/>
  <c r="D1137" i="1"/>
  <c r="A1138" i="1"/>
  <c r="B1138" i="1"/>
  <c r="C1138" i="1"/>
  <c r="D1138" i="1"/>
  <c r="A1139" i="1"/>
  <c r="B1139" i="1"/>
  <c r="C1139" i="1"/>
  <c r="D1139" i="1"/>
  <c r="A1140" i="1"/>
  <c r="B1140" i="1"/>
  <c r="C1140" i="1"/>
  <c r="D1140" i="1"/>
  <c r="A1141" i="1"/>
  <c r="B1141" i="1"/>
  <c r="C1141" i="1"/>
  <c r="D1141" i="1"/>
  <c r="A1142" i="1"/>
  <c r="B1142" i="1"/>
  <c r="C1142" i="1"/>
  <c r="D1142" i="1"/>
  <c r="A1143" i="1"/>
  <c r="B1143" i="1"/>
  <c r="C1143" i="1"/>
  <c r="D1143" i="1"/>
  <c r="A1144" i="1"/>
  <c r="B1144" i="1"/>
  <c r="C1144" i="1"/>
  <c r="D1144" i="1"/>
  <c r="A1145" i="1"/>
  <c r="B1145" i="1"/>
  <c r="C1145" i="1"/>
  <c r="D1145" i="1"/>
  <c r="A1146" i="1"/>
  <c r="B1146" i="1"/>
  <c r="C1146" i="1"/>
  <c r="D1146" i="1"/>
  <c r="A1147" i="1"/>
  <c r="B1147" i="1"/>
  <c r="C1147" i="1"/>
  <c r="D1147" i="1"/>
  <c r="A1148" i="1"/>
  <c r="B1148" i="1"/>
  <c r="C1148" i="1"/>
  <c r="D1148" i="1"/>
  <c r="A1149" i="1"/>
  <c r="B1149" i="1"/>
  <c r="C1149" i="1"/>
  <c r="D1149" i="1"/>
  <c r="A1150" i="1"/>
  <c r="B1150" i="1"/>
  <c r="C1150" i="1"/>
  <c r="D1150" i="1"/>
  <c r="A1151" i="1"/>
  <c r="B1151" i="1"/>
  <c r="C1151" i="1"/>
  <c r="D1151" i="1"/>
  <c r="A1152" i="1"/>
  <c r="B1152" i="1"/>
  <c r="C1152" i="1"/>
  <c r="D1152" i="1"/>
  <c r="A1153" i="1"/>
  <c r="B1153" i="1"/>
  <c r="C1153" i="1"/>
  <c r="D1153" i="1"/>
  <c r="A1154" i="1"/>
  <c r="B1154" i="1"/>
  <c r="C1154" i="1"/>
  <c r="D1154" i="1"/>
  <c r="A1155" i="1"/>
  <c r="B1155" i="1"/>
  <c r="C1155" i="1"/>
  <c r="D1155" i="1"/>
  <c r="A1156" i="1"/>
  <c r="B1156" i="1"/>
  <c r="C1156" i="1"/>
  <c r="D1156" i="1"/>
  <c r="A1157" i="1"/>
  <c r="B1157" i="1"/>
  <c r="C1157" i="1"/>
  <c r="D1157" i="1"/>
  <c r="A1158" i="1"/>
  <c r="B1158" i="1"/>
  <c r="C1158" i="1"/>
  <c r="D1158" i="1"/>
  <c r="A1159" i="1"/>
  <c r="B1159" i="1"/>
  <c r="C1159" i="1"/>
  <c r="D1159" i="1"/>
  <c r="A1160" i="1"/>
  <c r="B1160" i="1"/>
  <c r="C1160" i="1"/>
  <c r="D1160" i="1"/>
  <c r="A1161" i="1"/>
  <c r="B1161" i="1"/>
  <c r="C1161" i="1"/>
  <c r="D1161" i="1"/>
  <c r="A1162" i="1"/>
  <c r="B1162" i="1"/>
  <c r="C1162" i="1"/>
  <c r="D1162" i="1"/>
  <c r="A1163" i="1"/>
  <c r="B1163" i="1"/>
  <c r="C1163" i="1"/>
  <c r="D1163" i="1"/>
  <c r="A1164" i="1"/>
  <c r="B1164" i="1"/>
  <c r="C1164" i="1"/>
  <c r="D1164" i="1"/>
  <c r="A1165" i="1"/>
  <c r="B1165" i="1"/>
  <c r="C1165" i="1"/>
  <c r="D1165" i="1"/>
  <c r="A1166" i="1"/>
  <c r="B1166" i="1"/>
  <c r="C1166" i="1"/>
  <c r="D1166" i="1"/>
  <c r="A1167" i="1"/>
  <c r="B1167" i="1"/>
  <c r="C1167" i="1"/>
  <c r="D1167" i="1"/>
  <c r="A1168" i="1"/>
  <c r="B1168" i="1"/>
  <c r="C1168" i="1"/>
  <c r="D1168" i="1"/>
  <c r="A1169" i="1"/>
  <c r="B1169" i="1"/>
  <c r="C1169" i="1"/>
  <c r="D1169" i="1"/>
  <c r="A1170" i="1"/>
  <c r="B1170" i="1"/>
  <c r="C1170" i="1"/>
  <c r="D1170" i="1"/>
  <c r="A1171" i="1"/>
  <c r="B1171" i="1"/>
  <c r="C1171" i="1"/>
  <c r="D1171" i="1"/>
  <c r="A1172" i="1"/>
  <c r="B1172" i="1"/>
  <c r="C1172" i="1"/>
  <c r="D1172" i="1"/>
  <c r="A1173" i="1"/>
  <c r="B1173" i="1"/>
  <c r="C1173" i="1"/>
  <c r="D1173" i="1"/>
  <c r="A1174" i="1"/>
  <c r="B1174" i="1"/>
  <c r="C1174" i="1"/>
  <c r="D1174" i="1"/>
  <c r="A1175" i="1"/>
  <c r="B1175" i="1"/>
  <c r="C1175" i="1"/>
  <c r="D1175" i="1"/>
  <c r="A1176" i="1"/>
  <c r="B1176" i="1"/>
  <c r="C1176" i="1"/>
  <c r="D1176" i="1"/>
  <c r="A1177" i="1"/>
  <c r="B1177" i="1"/>
  <c r="C1177" i="1"/>
  <c r="D1177" i="1"/>
  <c r="A1178" i="1"/>
  <c r="B1178" i="1"/>
  <c r="C1178" i="1"/>
  <c r="D1178" i="1"/>
  <c r="A1179" i="1"/>
  <c r="B1179" i="1"/>
  <c r="C1179" i="1"/>
  <c r="D1179" i="1"/>
  <c r="A1180" i="1"/>
  <c r="B1180" i="1"/>
  <c r="C1180" i="1"/>
  <c r="D1180" i="1"/>
  <c r="A1181" i="1"/>
  <c r="B1181" i="1"/>
  <c r="C1181" i="1"/>
  <c r="D1181" i="1"/>
  <c r="A1182" i="1"/>
  <c r="B1182" i="1"/>
  <c r="C1182" i="1"/>
  <c r="D1182" i="1"/>
  <c r="A1183" i="1"/>
  <c r="B1183" i="1"/>
  <c r="C1183" i="1"/>
  <c r="D1183" i="1"/>
  <c r="A1184" i="1"/>
  <c r="B1184" i="1"/>
  <c r="C1184" i="1"/>
  <c r="D1184" i="1"/>
  <c r="A1185" i="1"/>
  <c r="B1185" i="1"/>
  <c r="C1185" i="1"/>
  <c r="D1185" i="1"/>
  <c r="A1186" i="1"/>
  <c r="B1186" i="1"/>
  <c r="C1186" i="1"/>
  <c r="D1186" i="1"/>
  <c r="A1187" i="1"/>
  <c r="B1187" i="1"/>
  <c r="C1187" i="1"/>
  <c r="D1187" i="1"/>
  <c r="A1188" i="1"/>
  <c r="B1188" i="1"/>
  <c r="C1188" i="1"/>
  <c r="D1188" i="1"/>
  <c r="A1189" i="1"/>
  <c r="B1189" i="1"/>
  <c r="C1189" i="1"/>
  <c r="D1189" i="1"/>
  <c r="A1190" i="1"/>
  <c r="B1190" i="1"/>
  <c r="C1190" i="1"/>
  <c r="D1190" i="1"/>
  <c r="A1191" i="1"/>
  <c r="B1191" i="1"/>
  <c r="C1191" i="1"/>
  <c r="D1191" i="1"/>
  <c r="A1192" i="1"/>
  <c r="B1192" i="1"/>
  <c r="C1192" i="1"/>
  <c r="D1192" i="1"/>
  <c r="A1193" i="1"/>
  <c r="B1193" i="1"/>
  <c r="C1193" i="1"/>
  <c r="D1193" i="1"/>
  <c r="A1194" i="1"/>
  <c r="B1194" i="1"/>
  <c r="C1194" i="1"/>
  <c r="D1194" i="1"/>
  <c r="A1195" i="1"/>
  <c r="B1195" i="1"/>
  <c r="C1195" i="1"/>
  <c r="D1195" i="1"/>
  <c r="A1196" i="1"/>
  <c r="B1196" i="1"/>
  <c r="C1196" i="1"/>
  <c r="D1196" i="1"/>
  <c r="A1197" i="1"/>
  <c r="B1197" i="1"/>
  <c r="C1197" i="1"/>
  <c r="D1197" i="1"/>
  <c r="A1198" i="1"/>
  <c r="B1198" i="1"/>
  <c r="C1198" i="1"/>
  <c r="D1198" i="1"/>
  <c r="A1199" i="1"/>
  <c r="B1199" i="1"/>
  <c r="C1199" i="1"/>
  <c r="D1199" i="1"/>
  <c r="A1200" i="1"/>
  <c r="B1200" i="1"/>
  <c r="C1200" i="1"/>
  <c r="D1200" i="1"/>
  <c r="A1201" i="1"/>
  <c r="B1201" i="1"/>
  <c r="C1201" i="1"/>
  <c r="D1201" i="1"/>
  <c r="A1202" i="1"/>
  <c r="B1202" i="1"/>
  <c r="C1202" i="1"/>
  <c r="D1202" i="1"/>
  <c r="A1203" i="1"/>
  <c r="B1203" i="1"/>
  <c r="C1203" i="1"/>
  <c r="D1203" i="1"/>
  <c r="A1204" i="1"/>
  <c r="B1204" i="1"/>
  <c r="C1204" i="1"/>
  <c r="D1204" i="1"/>
  <c r="A1205" i="1"/>
  <c r="B1205" i="1"/>
  <c r="C1205" i="1"/>
  <c r="D1205" i="1"/>
  <c r="A1206" i="1"/>
  <c r="B1206" i="1"/>
  <c r="C1206" i="1"/>
  <c r="D1206" i="1"/>
  <c r="A1207" i="1"/>
  <c r="B1207" i="1"/>
  <c r="C1207" i="1"/>
  <c r="D1207" i="1"/>
  <c r="A1208" i="1"/>
  <c r="B1208" i="1"/>
  <c r="C1208" i="1"/>
  <c r="D1208" i="1"/>
  <c r="A1209" i="1"/>
  <c r="B1209" i="1"/>
  <c r="C1209" i="1"/>
  <c r="D1209" i="1"/>
  <c r="A1210" i="1"/>
  <c r="B1210" i="1"/>
  <c r="C1210" i="1"/>
  <c r="D1210" i="1"/>
  <c r="A1211" i="1"/>
  <c r="B1211" i="1"/>
  <c r="C1211" i="1"/>
  <c r="D1211" i="1"/>
  <c r="A1212" i="1"/>
  <c r="B1212" i="1"/>
  <c r="C1212" i="1"/>
  <c r="D1212" i="1"/>
  <c r="A1213" i="1"/>
  <c r="B1213" i="1"/>
  <c r="C1213" i="1"/>
  <c r="D1213" i="1"/>
  <c r="A1214" i="1"/>
  <c r="B1214" i="1"/>
  <c r="C1214" i="1"/>
  <c r="D1214" i="1"/>
  <c r="A1215" i="1"/>
  <c r="B1215" i="1"/>
  <c r="C1215" i="1"/>
  <c r="D1215" i="1"/>
  <c r="A1216" i="1"/>
  <c r="B1216" i="1"/>
  <c r="C1216" i="1"/>
  <c r="D1216" i="1"/>
  <c r="A1217" i="1"/>
  <c r="B1217" i="1"/>
  <c r="C1217" i="1"/>
  <c r="D1217" i="1"/>
  <c r="A1218" i="1"/>
  <c r="B1218" i="1"/>
  <c r="C1218" i="1"/>
  <c r="D1218" i="1"/>
  <c r="A1219" i="1"/>
  <c r="B1219" i="1"/>
  <c r="C1219" i="1"/>
  <c r="D1219" i="1"/>
  <c r="A1220" i="1"/>
  <c r="B1220" i="1"/>
  <c r="C1220" i="1"/>
  <c r="D1220" i="1"/>
  <c r="A1221" i="1"/>
  <c r="B1221" i="1"/>
  <c r="C1221" i="1"/>
  <c r="D1221" i="1"/>
  <c r="A1222" i="1"/>
  <c r="B1222" i="1"/>
  <c r="C1222" i="1"/>
  <c r="D1222" i="1"/>
  <c r="A1223" i="1"/>
  <c r="B1223" i="1"/>
  <c r="C1223" i="1"/>
  <c r="D1223" i="1"/>
  <c r="A1224" i="1"/>
  <c r="B1224" i="1"/>
  <c r="C1224" i="1"/>
  <c r="D1224" i="1"/>
  <c r="A1225" i="1"/>
  <c r="B1225" i="1"/>
  <c r="C1225" i="1"/>
  <c r="D1225" i="1"/>
  <c r="A1226" i="1"/>
  <c r="B1226" i="1"/>
  <c r="C1226" i="1"/>
  <c r="D1226" i="1"/>
  <c r="A1227" i="1"/>
  <c r="B1227" i="1"/>
  <c r="C1227" i="1"/>
  <c r="D1227" i="1"/>
  <c r="A1228" i="1"/>
  <c r="B1228" i="1"/>
  <c r="C1228" i="1"/>
  <c r="D1228" i="1"/>
  <c r="A1229" i="1"/>
  <c r="B1229" i="1"/>
  <c r="C1229" i="1"/>
  <c r="D1229" i="1"/>
  <c r="A1230" i="1"/>
  <c r="B1230" i="1"/>
  <c r="C1230" i="1"/>
  <c r="D1230" i="1"/>
  <c r="A1231" i="1"/>
  <c r="B1231" i="1"/>
  <c r="C1231" i="1"/>
  <c r="D1231" i="1"/>
  <c r="A1232" i="1"/>
  <c r="B1232" i="1"/>
  <c r="C1232" i="1"/>
  <c r="D1232" i="1"/>
  <c r="A1233" i="1"/>
  <c r="B1233" i="1"/>
  <c r="C1233" i="1"/>
  <c r="D1233" i="1"/>
  <c r="A1234" i="1"/>
  <c r="B1234" i="1"/>
  <c r="C1234" i="1"/>
  <c r="D1234" i="1"/>
  <c r="A1235" i="1"/>
  <c r="B1235" i="1"/>
  <c r="C1235" i="1"/>
  <c r="D1235" i="1"/>
  <c r="A1236" i="1"/>
  <c r="B1236" i="1"/>
  <c r="C1236" i="1"/>
  <c r="D1236" i="1"/>
  <c r="A1237" i="1"/>
  <c r="B1237" i="1"/>
  <c r="C1237" i="1"/>
  <c r="D1237" i="1"/>
  <c r="A1238" i="1"/>
  <c r="B1238" i="1"/>
  <c r="C1238" i="1"/>
  <c r="D1238" i="1"/>
  <c r="A1239" i="1"/>
  <c r="B1239" i="1"/>
  <c r="C1239" i="1"/>
  <c r="D1239" i="1"/>
  <c r="A1240" i="1"/>
  <c r="B1240" i="1"/>
  <c r="C1240" i="1"/>
  <c r="D1240" i="1"/>
  <c r="A1241" i="1"/>
  <c r="B1241" i="1"/>
  <c r="C1241" i="1"/>
  <c r="D1241" i="1"/>
  <c r="A1242" i="1"/>
  <c r="B1242" i="1"/>
  <c r="C1242" i="1"/>
  <c r="D1242" i="1"/>
  <c r="A1243" i="1"/>
  <c r="B1243" i="1"/>
  <c r="C1243" i="1"/>
  <c r="D1243" i="1"/>
  <c r="A1244" i="1"/>
  <c r="B1244" i="1"/>
  <c r="C1244" i="1"/>
  <c r="D1244" i="1"/>
  <c r="A1245" i="1"/>
  <c r="B1245" i="1"/>
  <c r="C1245" i="1"/>
  <c r="D1245" i="1"/>
  <c r="A1246" i="1"/>
  <c r="B1246" i="1"/>
  <c r="C1246" i="1"/>
  <c r="D1246" i="1"/>
  <c r="A1247" i="1"/>
  <c r="B1247" i="1"/>
  <c r="C1247" i="1"/>
  <c r="D1247" i="1"/>
  <c r="A1248" i="1"/>
  <c r="B1248" i="1"/>
  <c r="C1248" i="1"/>
  <c r="D1248" i="1"/>
  <c r="A1249" i="1"/>
  <c r="B1249" i="1"/>
  <c r="C1249" i="1"/>
  <c r="D1249" i="1"/>
  <c r="A1250" i="1"/>
  <c r="B1250" i="1"/>
  <c r="C1250" i="1"/>
  <c r="D1250" i="1"/>
  <c r="A1251" i="1"/>
  <c r="B1251" i="1"/>
  <c r="C1251" i="1"/>
  <c r="D1251" i="1"/>
  <c r="A1252" i="1"/>
  <c r="B1252" i="1"/>
  <c r="C1252" i="1"/>
  <c r="D1252" i="1"/>
  <c r="A1253" i="1"/>
  <c r="B1253" i="1"/>
  <c r="C1253" i="1"/>
  <c r="D1253" i="1"/>
  <c r="A1254" i="1"/>
  <c r="B1254" i="1"/>
  <c r="C1254" i="1"/>
  <c r="D1254" i="1"/>
  <c r="A1255" i="1"/>
  <c r="B1255" i="1"/>
  <c r="C1255" i="1"/>
  <c r="D1255" i="1"/>
  <c r="A1256" i="1"/>
  <c r="B1256" i="1"/>
  <c r="C1256" i="1"/>
  <c r="D1256" i="1"/>
  <c r="A1257" i="1"/>
  <c r="B1257" i="1"/>
  <c r="C1257" i="1"/>
  <c r="D1257" i="1"/>
  <c r="A1258" i="1"/>
  <c r="B1258" i="1"/>
  <c r="C1258" i="1"/>
  <c r="D1258" i="1"/>
  <c r="A1259" i="1"/>
  <c r="B1259" i="1"/>
  <c r="C1259" i="1"/>
  <c r="D1259" i="1"/>
  <c r="A1260" i="1"/>
  <c r="B1260" i="1"/>
  <c r="C1260" i="1"/>
  <c r="D1260" i="1"/>
  <c r="A1261" i="1"/>
  <c r="B1261" i="1"/>
  <c r="C1261" i="1"/>
  <c r="D1261" i="1"/>
  <c r="A1262" i="1"/>
  <c r="B1262" i="1"/>
  <c r="C1262" i="1"/>
  <c r="D1262" i="1"/>
  <c r="A1263" i="1"/>
  <c r="B1263" i="1"/>
  <c r="C1263" i="1"/>
  <c r="D1263" i="1"/>
  <c r="A1264" i="1"/>
  <c r="B1264" i="1"/>
  <c r="C1264" i="1"/>
  <c r="D1264" i="1"/>
  <c r="A1265" i="1"/>
  <c r="B1265" i="1"/>
  <c r="C1265" i="1"/>
  <c r="D1265" i="1"/>
  <c r="A1266" i="1"/>
  <c r="B1266" i="1"/>
  <c r="C1266" i="1"/>
  <c r="D1266" i="1"/>
  <c r="A1267" i="1"/>
  <c r="B1267" i="1"/>
  <c r="C1267" i="1"/>
  <c r="D1267" i="1"/>
  <c r="A1268" i="1"/>
  <c r="B1268" i="1"/>
  <c r="C1268" i="1"/>
  <c r="D1268" i="1"/>
  <c r="A1269" i="1"/>
  <c r="B1269" i="1"/>
  <c r="C1269" i="1"/>
  <c r="D1269" i="1"/>
  <c r="A1270" i="1"/>
  <c r="B1270" i="1"/>
  <c r="C1270" i="1"/>
  <c r="D1270" i="1"/>
  <c r="A1271" i="1"/>
  <c r="B1271" i="1"/>
  <c r="C1271" i="1"/>
  <c r="D1271" i="1"/>
  <c r="A1272" i="1"/>
  <c r="B1272" i="1"/>
  <c r="C1272" i="1"/>
  <c r="D1272" i="1"/>
  <c r="A1273" i="1"/>
  <c r="B1273" i="1"/>
  <c r="C1273" i="1"/>
  <c r="D1273" i="1"/>
  <c r="A1274" i="1"/>
  <c r="B1274" i="1"/>
  <c r="C1274" i="1"/>
  <c r="D1274" i="1"/>
  <c r="A1275" i="1"/>
  <c r="B1275" i="1"/>
  <c r="C1275" i="1"/>
  <c r="D1275" i="1"/>
  <c r="A1276" i="1"/>
  <c r="B1276" i="1"/>
  <c r="C1276" i="1"/>
  <c r="D1276" i="1"/>
  <c r="A1277" i="1"/>
  <c r="B1277" i="1"/>
  <c r="C1277" i="1"/>
  <c r="D1277" i="1"/>
  <c r="A1278" i="1"/>
  <c r="B1278" i="1"/>
  <c r="C1278" i="1"/>
  <c r="D1278" i="1"/>
  <c r="A1279" i="1"/>
  <c r="B1279" i="1"/>
  <c r="C1279" i="1"/>
  <c r="D1279" i="1"/>
  <c r="A1280" i="1"/>
  <c r="B1280" i="1"/>
  <c r="C1280" i="1"/>
  <c r="D1280" i="1"/>
  <c r="A1281" i="1"/>
  <c r="B1281" i="1"/>
  <c r="C1281" i="1"/>
  <c r="D1281" i="1"/>
  <c r="A1282" i="1"/>
  <c r="B1282" i="1"/>
  <c r="C1282" i="1"/>
  <c r="D1282" i="1"/>
  <c r="A1283" i="1"/>
  <c r="B1283" i="1"/>
  <c r="C1283" i="1"/>
  <c r="D1283" i="1"/>
  <c r="A1284" i="1"/>
  <c r="B1284" i="1"/>
  <c r="C1284" i="1"/>
  <c r="D1284" i="1"/>
  <c r="A1285" i="1"/>
  <c r="B1285" i="1"/>
  <c r="C1285" i="1"/>
  <c r="D1285" i="1"/>
  <c r="A1286" i="1"/>
  <c r="B1286" i="1"/>
  <c r="C1286" i="1"/>
  <c r="D1286" i="1"/>
  <c r="A1287" i="1"/>
  <c r="B1287" i="1"/>
  <c r="C1287" i="1"/>
  <c r="D1287" i="1"/>
  <c r="A1288" i="1"/>
  <c r="B1288" i="1"/>
  <c r="C1288" i="1"/>
  <c r="D1288" i="1"/>
  <c r="A1289" i="1"/>
  <c r="B1289" i="1"/>
  <c r="C1289" i="1"/>
  <c r="D1289" i="1"/>
  <c r="A1290" i="1"/>
  <c r="B1290" i="1"/>
  <c r="C1290" i="1"/>
  <c r="D1290" i="1"/>
  <c r="A1291" i="1"/>
  <c r="B1291" i="1"/>
  <c r="C1291" i="1"/>
  <c r="D1291" i="1"/>
  <c r="A1292" i="1"/>
  <c r="B1292" i="1"/>
  <c r="C1292" i="1"/>
  <c r="D1292" i="1"/>
  <c r="A1293" i="1"/>
  <c r="B1293" i="1"/>
  <c r="C1293" i="1"/>
  <c r="D1293" i="1"/>
  <c r="A1294" i="1"/>
  <c r="B1294" i="1"/>
  <c r="C1294" i="1"/>
  <c r="D1294" i="1"/>
  <c r="A1295" i="1"/>
  <c r="B1295" i="1"/>
  <c r="C1295" i="1"/>
  <c r="D1295" i="1"/>
  <c r="A1296" i="1"/>
  <c r="B1296" i="1"/>
  <c r="C1296" i="1"/>
  <c r="D1296" i="1"/>
  <c r="A1297" i="1"/>
  <c r="B1297" i="1"/>
  <c r="C1297" i="1"/>
  <c r="D1297" i="1"/>
  <c r="A1298" i="1"/>
  <c r="B1298" i="1"/>
  <c r="C1298" i="1"/>
  <c r="D1298" i="1"/>
  <c r="A1299" i="1"/>
  <c r="B1299" i="1"/>
  <c r="C1299" i="1"/>
  <c r="D1299" i="1"/>
  <c r="A1300" i="1"/>
  <c r="B1300" i="1"/>
  <c r="C1300" i="1"/>
  <c r="D1300" i="1"/>
  <c r="A1301" i="1"/>
  <c r="B1301" i="1"/>
  <c r="C1301" i="1"/>
  <c r="D1301" i="1"/>
  <c r="A1302" i="1"/>
  <c r="B1302" i="1"/>
  <c r="C1302" i="1"/>
  <c r="D1302" i="1"/>
  <c r="A1303" i="1"/>
  <c r="B1303" i="1"/>
  <c r="C1303" i="1"/>
  <c r="D1303" i="1"/>
  <c r="A1304" i="1"/>
  <c r="B1304" i="1"/>
  <c r="C1304" i="1"/>
  <c r="D1304" i="1"/>
  <c r="A1305" i="1"/>
  <c r="B1305" i="1"/>
  <c r="C1305" i="1"/>
  <c r="D1305" i="1"/>
  <c r="A1306" i="1"/>
  <c r="B1306" i="1"/>
  <c r="C1306" i="1"/>
  <c r="D1306" i="1"/>
  <c r="A1307" i="1"/>
  <c r="B1307" i="1"/>
  <c r="C1307" i="1"/>
  <c r="D1307" i="1"/>
  <c r="A1308" i="1"/>
  <c r="B1308" i="1"/>
  <c r="C1308" i="1"/>
  <c r="D1308" i="1"/>
  <c r="A1309" i="1"/>
  <c r="B1309" i="1"/>
  <c r="C1309" i="1"/>
  <c r="D1309" i="1"/>
  <c r="A1310" i="1"/>
  <c r="B1310" i="1"/>
  <c r="C1310" i="1"/>
  <c r="D1310" i="1"/>
  <c r="A1311" i="1"/>
  <c r="B1311" i="1"/>
  <c r="C1311" i="1"/>
  <c r="D1311" i="1"/>
  <c r="A1312" i="1"/>
  <c r="B1312" i="1"/>
  <c r="C1312" i="1"/>
  <c r="D1312" i="1"/>
  <c r="A1313" i="1"/>
  <c r="B1313" i="1"/>
  <c r="C1313" i="1"/>
  <c r="D1313" i="1"/>
  <c r="A1314" i="1"/>
  <c r="B1314" i="1"/>
  <c r="C1314" i="1"/>
  <c r="D1314" i="1"/>
  <c r="A1315" i="1"/>
  <c r="B1315" i="1"/>
  <c r="C1315" i="1"/>
  <c r="D1315" i="1"/>
  <c r="A1316" i="1"/>
  <c r="B1316" i="1"/>
  <c r="C1316" i="1"/>
  <c r="D1316" i="1"/>
  <c r="A1317" i="1"/>
  <c r="B1317" i="1"/>
  <c r="C1317" i="1"/>
  <c r="D1317" i="1"/>
  <c r="A1318" i="1"/>
  <c r="B1318" i="1"/>
  <c r="C1318" i="1"/>
  <c r="D1318" i="1"/>
  <c r="A1319" i="1"/>
  <c r="B1319" i="1"/>
  <c r="C1319" i="1"/>
  <c r="D1319" i="1"/>
  <c r="A1320" i="1"/>
  <c r="B1320" i="1"/>
  <c r="C1320" i="1"/>
  <c r="D1320" i="1"/>
  <c r="A1321" i="1"/>
  <c r="B1321" i="1"/>
  <c r="C1321" i="1"/>
  <c r="D1321" i="1"/>
  <c r="A1322" i="1"/>
  <c r="B1322" i="1"/>
  <c r="C1322" i="1"/>
  <c r="D1322" i="1"/>
  <c r="A1323" i="1"/>
  <c r="B1323" i="1"/>
  <c r="C1323" i="1"/>
  <c r="D1323" i="1"/>
  <c r="A1324" i="1"/>
  <c r="B1324" i="1"/>
  <c r="C1324" i="1"/>
  <c r="D1324" i="1"/>
  <c r="A1325" i="1"/>
  <c r="B1325" i="1"/>
  <c r="C1325" i="1"/>
  <c r="D1325" i="1"/>
  <c r="A1326" i="1"/>
  <c r="B1326" i="1"/>
  <c r="C1326" i="1"/>
  <c r="D1326" i="1"/>
  <c r="A1327" i="1"/>
  <c r="B1327" i="1"/>
  <c r="C1327" i="1"/>
  <c r="D1327" i="1"/>
  <c r="A1328" i="1"/>
  <c r="B1328" i="1"/>
  <c r="C1328" i="1"/>
  <c r="D1328" i="1"/>
  <c r="A1329" i="1"/>
  <c r="B1329" i="1"/>
  <c r="C1329" i="1"/>
  <c r="D1329" i="1"/>
  <c r="A1330" i="1"/>
  <c r="B1330" i="1"/>
  <c r="C1330" i="1"/>
  <c r="D1330" i="1"/>
  <c r="A1331" i="1"/>
  <c r="B1331" i="1"/>
  <c r="C1331" i="1"/>
  <c r="D1331" i="1"/>
  <c r="A1332" i="1"/>
  <c r="B1332" i="1"/>
  <c r="C1332" i="1"/>
  <c r="D1332" i="1"/>
  <c r="A1333" i="1"/>
  <c r="B1333" i="1"/>
  <c r="C1333" i="1"/>
  <c r="D1333" i="1"/>
  <c r="A1334" i="1"/>
  <c r="B1334" i="1"/>
  <c r="C1334" i="1"/>
  <c r="D1334" i="1"/>
  <c r="A1335" i="1"/>
  <c r="B1335" i="1"/>
  <c r="C1335" i="1"/>
  <c r="D1335" i="1"/>
  <c r="A1336" i="1"/>
  <c r="B1336" i="1"/>
  <c r="C1336" i="1"/>
  <c r="D1336" i="1"/>
  <c r="A1337" i="1"/>
  <c r="B1337" i="1"/>
  <c r="C1337" i="1"/>
  <c r="D1337" i="1"/>
  <c r="A1338" i="1"/>
  <c r="B1338" i="1"/>
  <c r="C1338" i="1"/>
  <c r="D1338" i="1"/>
  <c r="A1339" i="1"/>
  <c r="B1339" i="1"/>
  <c r="C1339" i="1"/>
  <c r="D1339" i="1"/>
  <c r="A1340" i="1"/>
  <c r="B1340" i="1"/>
  <c r="C1340" i="1"/>
  <c r="D1340" i="1"/>
  <c r="A1341" i="1"/>
  <c r="B1341" i="1"/>
  <c r="C1341" i="1"/>
  <c r="D1341" i="1"/>
  <c r="A1342" i="1"/>
  <c r="B1342" i="1"/>
  <c r="C1342" i="1"/>
  <c r="D1342" i="1"/>
  <c r="A1343" i="1"/>
  <c r="B1343" i="1"/>
  <c r="C1343" i="1"/>
  <c r="D1343" i="1"/>
  <c r="A1344" i="1"/>
  <c r="B1344" i="1"/>
  <c r="C1344" i="1"/>
  <c r="D1344" i="1"/>
  <c r="A1345" i="1"/>
  <c r="B1345" i="1"/>
  <c r="C1345" i="1"/>
  <c r="D1345" i="1"/>
  <c r="A1346" i="1"/>
  <c r="B1346" i="1"/>
  <c r="C1346" i="1"/>
  <c r="D1346" i="1"/>
  <c r="A1347" i="1"/>
  <c r="B1347" i="1"/>
  <c r="C1347" i="1"/>
  <c r="D1347" i="1"/>
  <c r="A1348" i="1"/>
  <c r="B1348" i="1"/>
  <c r="C1348" i="1"/>
  <c r="D1348" i="1"/>
  <c r="A1349" i="1"/>
  <c r="B1349" i="1"/>
  <c r="C1349" i="1"/>
  <c r="D1349" i="1"/>
  <c r="A1350" i="1"/>
  <c r="B1350" i="1"/>
  <c r="C1350" i="1"/>
  <c r="D1350" i="1"/>
  <c r="A1351" i="1"/>
  <c r="B1351" i="1"/>
  <c r="C1351" i="1"/>
  <c r="D1351" i="1"/>
  <c r="A1352" i="1"/>
  <c r="B1352" i="1"/>
  <c r="C1352" i="1"/>
  <c r="D1352" i="1"/>
  <c r="A1353" i="1"/>
  <c r="B1353" i="1"/>
  <c r="C1353" i="1"/>
  <c r="D1353" i="1"/>
  <c r="A1354" i="1"/>
  <c r="B1354" i="1"/>
  <c r="C1354" i="1"/>
  <c r="D1354" i="1"/>
  <c r="A1355" i="1"/>
  <c r="B1355" i="1"/>
  <c r="C1355" i="1"/>
  <c r="D1355" i="1"/>
  <c r="A1356" i="1"/>
  <c r="B1356" i="1"/>
  <c r="C1356" i="1"/>
  <c r="D1356" i="1"/>
  <c r="A1357" i="1"/>
  <c r="B1357" i="1"/>
  <c r="C1357" i="1"/>
  <c r="D1357" i="1"/>
  <c r="A1358" i="1"/>
  <c r="B1358" i="1"/>
  <c r="C1358" i="1"/>
  <c r="D1358" i="1"/>
  <c r="A1359" i="1"/>
  <c r="B1359" i="1"/>
  <c r="C1359" i="1"/>
  <c r="D1359" i="1"/>
  <c r="A1360" i="1"/>
  <c r="B1360" i="1"/>
  <c r="C1360" i="1"/>
  <c r="D1360" i="1"/>
  <c r="A1361" i="1"/>
  <c r="B1361" i="1"/>
  <c r="C1361" i="1"/>
  <c r="D1361" i="1"/>
  <c r="A1362" i="1"/>
  <c r="B1362" i="1"/>
  <c r="C1362" i="1"/>
  <c r="D1362" i="1"/>
  <c r="A1363" i="1"/>
  <c r="B1363" i="1"/>
  <c r="C1363" i="1"/>
  <c r="D1363" i="1"/>
  <c r="A1364" i="1"/>
  <c r="B1364" i="1"/>
  <c r="C1364" i="1"/>
  <c r="D1364" i="1"/>
  <c r="A1365" i="1"/>
  <c r="B1365" i="1"/>
  <c r="C1365" i="1"/>
  <c r="D1365" i="1"/>
  <c r="A1366" i="1"/>
  <c r="B1366" i="1"/>
  <c r="C1366" i="1"/>
  <c r="D1366" i="1"/>
  <c r="A1367" i="1"/>
  <c r="B1367" i="1"/>
  <c r="C1367" i="1"/>
  <c r="D1367" i="1"/>
  <c r="A1368" i="1"/>
  <c r="B1368" i="1"/>
  <c r="C1368" i="1"/>
  <c r="D1368" i="1"/>
  <c r="A1369" i="1"/>
  <c r="B1369" i="1"/>
  <c r="C1369" i="1"/>
  <c r="D1369" i="1"/>
  <c r="A1370" i="1"/>
  <c r="B1370" i="1"/>
  <c r="C1370" i="1"/>
  <c r="D1370" i="1"/>
  <c r="A1371" i="1"/>
  <c r="B1371" i="1"/>
  <c r="C1371" i="1"/>
  <c r="D1371" i="1"/>
  <c r="A1372" i="1"/>
  <c r="B1372" i="1"/>
  <c r="C1372" i="1"/>
  <c r="D1372" i="1"/>
  <c r="A1373" i="1"/>
  <c r="B1373" i="1"/>
  <c r="C1373" i="1"/>
  <c r="D1373" i="1"/>
  <c r="A1374" i="1"/>
  <c r="B1374" i="1"/>
  <c r="C1374" i="1"/>
  <c r="D1374" i="1"/>
  <c r="A1375" i="1"/>
  <c r="B1375" i="1"/>
  <c r="C1375" i="1"/>
  <c r="D1375" i="1"/>
  <c r="A1376" i="1"/>
  <c r="B1376" i="1"/>
  <c r="C1376" i="1"/>
  <c r="D1376" i="1"/>
  <c r="A1377" i="1"/>
  <c r="B1377" i="1"/>
  <c r="C1377" i="1"/>
  <c r="D1377" i="1"/>
  <c r="A1378" i="1"/>
  <c r="B1378" i="1"/>
  <c r="C1378" i="1"/>
  <c r="D1378" i="1"/>
  <c r="A1379" i="1"/>
  <c r="B1379" i="1"/>
  <c r="C1379" i="1"/>
  <c r="D1379" i="1"/>
  <c r="A1380" i="1"/>
  <c r="B1380" i="1"/>
  <c r="C1380" i="1"/>
  <c r="D1380" i="1"/>
  <c r="A1381" i="1"/>
  <c r="B1381" i="1"/>
  <c r="C1381" i="1"/>
  <c r="D1381" i="1"/>
  <c r="A1382" i="1"/>
  <c r="B1382" i="1"/>
  <c r="C1382" i="1"/>
  <c r="D1382" i="1"/>
  <c r="A1383" i="1"/>
  <c r="B1383" i="1"/>
  <c r="C1383" i="1"/>
  <c r="D1383" i="1"/>
  <c r="A1384" i="1"/>
  <c r="B1384" i="1"/>
  <c r="C1384" i="1"/>
  <c r="D1384" i="1"/>
  <c r="A1385" i="1"/>
  <c r="B1385" i="1"/>
  <c r="C1385" i="1"/>
  <c r="D1385" i="1"/>
  <c r="A1386" i="1"/>
  <c r="B1386" i="1"/>
  <c r="C1386" i="1"/>
  <c r="D1386" i="1"/>
  <c r="A1387" i="1"/>
  <c r="B1387" i="1"/>
  <c r="C1387" i="1"/>
  <c r="D1387" i="1"/>
  <c r="A1388" i="1"/>
  <c r="B1388" i="1"/>
  <c r="C1388" i="1"/>
  <c r="D1388" i="1"/>
  <c r="A1389" i="1"/>
  <c r="B1389" i="1"/>
  <c r="C1389" i="1"/>
  <c r="D1389" i="1"/>
  <c r="A1390" i="1"/>
  <c r="B1390" i="1"/>
  <c r="C1390" i="1"/>
  <c r="D1390" i="1"/>
  <c r="A1391" i="1"/>
  <c r="B1391" i="1"/>
  <c r="C1391" i="1"/>
  <c r="D1391" i="1"/>
  <c r="A1392" i="1"/>
  <c r="B1392" i="1"/>
  <c r="C1392" i="1"/>
  <c r="D1392" i="1"/>
  <c r="A1393" i="1"/>
  <c r="B1393" i="1"/>
  <c r="C1393" i="1"/>
  <c r="D1393" i="1"/>
  <c r="A1394" i="1"/>
  <c r="B1394" i="1"/>
  <c r="C1394" i="1"/>
  <c r="D1394" i="1"/>
  <c r="A1395" i="1"/>
  <c r="B1395" i="1"/>
  <c r="C1395" i="1"/>
  <c r="D1395" i="1"/>
  <c r="A1396" i="1"/>
  <c r="B1396" i="1"/>
  <c r="C1396" i="1"/>
  <c r="D1396" i="1"/>
  <c r="A1397" i="1"/>
  <c r="B1397" i="1"/>
  <c r="C1397" i="1"/>
  <c r="D1397" i="1"/>
  <c r="A1398" i="1"/>
  <c r="B1398" i="1"/>
  <c r="C1398" i="1"/>
  <c r="D1398" i="1"/>
  <c r="A1399" i="1"/>
  <c r="B1399" i="1"/>
  <c r="C1399" i="1"/>
  <c r="D1399" i="1"/>
  <c r="A1400" i="1"/>
  <c r="B1400" i="1"/>
  <c r="C1400" i="1"/>
  <c r="D1400" i="1"/>
  <c r="A1401" i="1"/>
  <c r="B1401" i="1"/>
  <c r="C1401" i="1"/>
  <c r="D1401" i="1"/>
  <c r="A1402" i="1"/>
  <c r="B1402" i="1"/>
  <c r="C1402" i="1"/>
  <c r="D1402" i="1"/>
  <c r="A1403" i="1"/>
  <c r="B1403" i="1"/>
  <c r="C1403" i="1"/>
  <c r="D1403" i="1"/>
  <c r="A1404" i="1"/>
  <c r="B1404" i="1"/>
  <c r="C1404" i="1"/>
  <c r="D1404" i="1"/>
  <c r="A1405" i="1"/>
  <c r="B1405" i="1"/>
  <c r="C1405" i="1"/>
  <c r="D1405" i="1"/>
  <c r="A1406" i="1"/>
  <c r="B1406" i="1"/>
  <c r="C1406" i="1"/>
  <c r="D1406" i="1"/>
  <c r="A1407" i="1"/>
  <c r="B1407" i="1"/>
  <c r="C1407" i="1"/>
  <c r="D1407" i="1"/>
  <c r="A1408" i="1"/>
  <c r="B1408" i="1"/>
  <c r="C1408" i="1"/>
  <c r="D1408" i="1"/>
  <c r="A1409" i="1"/>
  <c r="B1409" i="1"/>
  <c r="C1409" i="1"/>
  <c r="D1409" i="1"/>
  <c r="A1410" i="1"/>
  <c r="B1410" i="1"/>
  <c r="C1410" i="1"/>
  <c r="D1410" i="1"/>
  <c r="A1411" i="1"/>
  <c r="B1411" i="1"/>
  <c r="C1411" i="1"/>
  <c r="D1411" i="1"/>
  <c r="A1412" i="1"/>
  <c r="B1412" i="1"/>
  <c r="C1412" i="1"/>
  <c r="D1412" i="1"/>
  <c r="A1413" i="1"/>
  <c r="B1413" i="1"/>
  <c r="C1413" i="1"/>
  <c r="D1413" i="1"/>
  <c r="A1414" i="1"/>
  <c r="B1414" i="1"/>
  <c r="C1414" i="1"/>
  <c r="D1414" i="1"/>
  <c r="A1415" i="1"/>
  <c r="B1415" i="1"/>
  <c r="C1415" i="1"/>
  <c r="D1415" i="1"/>
  <c r="A1416" i="1"/>
  <c r="B1416" i="1"/>
  <c r="C1416" i="1"/>
  <c r="D1416" i="1"/>
  <c r="A1417" i="1"/>
  <c r="B1417" i="1"/>
  <c r="C1417" i="1"/>
  <c r="D1417" i="1"/>
  <c r="A1418" i="1"/>
  <c r="B1418" i="1"/>
  <c r="C1418" i="1"/>
  <c r="D1418" i="1"/>
  <c r="A1419" i="1"/>
  <c r="B1419" i="1"/>
  <c r="C1419" i="1"/>
  <c r="D1419" i="1"/>
  <c r="A1420" i="1"/>
  <c r="B1420" i="1"/>
  <c r="C1420" i="1"/>
  <c r="D1420" i="1"/>
  <c r="A1421" i="1"/>
  <c r="B1421" i="1"/>
  <c r="C1421" i="1"/>
  <c r="D1421" i="1"/>
  <c r="A1422" i="1"/>
  <c r="B1422" i="1"/>
  <c r="C1422" i="1"/>
  <c r="D1422" i="1"/>
  <c r="A1423" i="1"/>
  <c r="B1423" i="1"/>
  <c r="C1423" i="1"/>
  <c r="D1423" i="1"/>
  <c r="A1424" i="1"/>
  <c r="B1424" i="1"/>
  <c r="C1424" i="1"/>
  <c r="D1424" i="1"/>
  <c r="A1425" i="1"/>
  <c r="B1425" i="1"/>
  <c r="C1425" i="1"/>
  <c r="D1425" i="1"/>
  <c r="A1426" i="1"/>
  <c r="B1426" i="1"/>
  <c r="C1426" i="1"/>
  <c r="D1426" i="1"/>
  <c r="A1427" i="1"/>
  <c r="B1427" i="1"/>
  <c r="C1427" i="1"/>
  <c r="D1427" i="1"/>
  <c r="A1428" i="1"/>
  <c r="B1428" i="1"/>
  <c r="C1428" i="1"/>
  <c r="D1428" i="1"/>
  <c r="A1429" i="1"/>
  <c r="B1429" i="1"/>
  <c r="C1429" i="1"/>
  <c r="D1429" i="1"/>
  <c r="A1430" i="1"/>
  <c r="B1430" i="1"/>
  <c r="C1430" i="1"/>
  <c r="D1430" i="1"/>
  <c r="A1431" i="1"/>
  <c r="B1431" i="1"/>
  <c r="C1431" i="1"/>
  <c r="D1431" i="1"/>
  <c r="A1432" i="1"/>
  <c r="B1432" i="1"/>
  <c r="C1432" i="1"/>
  <c r="D1432" i="1"/>
  <c r="A1433" i="1"/>
  <c r="B1433" i="1"/>
  <c r="C1433" i="1"/>
  <c r="D1433" i="1"/>
  <c r="A1434" i="1"/>
  <c r="B1434" i="1"/>
  <c r="C1434" i="1"/>
  <c r="D1434" i="1"/>
  <c r="A1435" i="1"/>
  <c r="B1435" i="1"/>
  <c r="C1435" i="1"/>
  <c r="D1435" i="1"/>
  <c r="A1436" i="1"/>
  <c r="B1436" i="1"/>
  <c r="C1436" i="1"/>
  <c r="D1436" i="1"/>
  <c r="A1437" i="1"/>
  <c r="B1437" i="1"/>
  <c r="C1437" i="1"/>
  <c r="D1437" i="1"/>
  <c r="A1438" i="1"/>
  <c r="B1438" i="1"/>
  <c r="C1438" i="1"/>
  <c r="D1438" i="1"/>
  <c r="A1439" i="1"/>
  <c r="B1439" i="1"/>
  <c r="C1439" i="1"/>
  <c r="D1439" i="1"/>
  <c r="A1440" i="1"/>
  <c r="B1440" i="1"/>
  <c r="C1440" i="1"/>
  <c r="D1440" i="1"/>
  <c r="A1441" i="1"/>
  <c r="B1441" i="1"/>
  <c r="C1441" i="1"/>
  <c r="D1441" i="1"/>
  <c r="A1442" i="1"/>
  <c r="B1442" i="1"/>
  <c r="C1442" i="1"/>
  <c r="D1442" i="1"/>
  <c r="A1443" i="1"/>
  <c r="B1443" i="1"/>
  <c r="C1443" i="1"/>
  <c r="D1443" i="1"/>
  <c r="A1444" i="1"/>
  <c r="B1444" i="1"/>
  <c r="C1444" i="1"/>
  <c r="D1444" i="1"/>
  <c r="A1445" i="1"/>
  <c r="B1445" i="1"/>
  <c r="C1445" i="1"/>
  <c r="D1445" i="1"/>
  <c r="A1446" i="1"/>
  <c r="B1446" i="1"/>
  <c r="C1446" i="1"/>
  <c r="D1446" i="1"/>
  <c r="A1447" i="1"/>
  <c r="B1447" i="1"/>
  <c r="C1447" i="1"/>
  <c r="D1447" i="1"/>
  <c r="A1448" i="1"/>
  <c r="B1448" i="1"/>
  <c r="C1448" i="1"/>
  <c r="D1448" i="1"/>
  <c r="A1449" i="1"/>
  <c r="B1449" i="1"/>
  <c r="C1449" i="1"/>
  <c r="D1449" i="1"/>
  <c r="A1450" i="1"/>
  <c r="B1450" i="1"/>
  <c r="C1450" i="1"/>
  <c r="D1450" i="1"/>
  <c r="A1451" i="1"/>
  <c r="B1451" i="1"/>
  <c r="C1451" i="1"/>
  <c r="D1451" i="1"/>
  <c r="A1452" i="1"/>
  <c r="B1452" i="1"/>
  <c r="C1452" i="1"/>
  <c r="D1452" i="1"/>
  <c r="A1453" i="1"/>
  <c r="B1453" i="1"/>
  <c r="C1453" i="1"/>
  <c r="D1453" i="1"/>
  <c r="A1454" i="1"/>
  <c r="B1454" i="1"/>
  <c r="C1454" i="1"/>
  <c r="D1454" i="1"/>
  <c r="A1455" i="1"/>
  <c r="B1455" i="1"/>
  <c r="C1455" i="1"/>
  <c r="D1455" i="1"/>
  <c r="A1456" i="1"/>
  <c r="B1456" i="1"/>
  <c r="C1456" i="1"/>
  <c r="D1456" i="1"/>
  <c r="A1457" i="1"/>
  <c r="B1457" i="1"/>
  <c r="C1457" i="1"/>
  <c r="D1457" i="1"/>
  <c r="A1458" i="1"/>
  <c r="B1458" i="1"/>
  <c r="C1458" i="1"/>
  <c r="D1458" i="1"/>
  <c r="A1459" i="1"/>
  <c r="B1459" i="1"/>
  <c r="C1459" i="1"/>
  <c r="D1459" i="1"/>
  <c r="A1460" i="1"/>
  <c r="B1460" i="1"/>
  <c r="C1460" i="1"/>
  <c r="D1460" i="1"/>
  <c r="A1461" i="1"/>
  <c r="B1461" i="1"/>
  <c r="C1461" i="1"/>
  <c r="D1461" i="1"/>
  <c r="A1462" i="1"/>
  <c r="B1462" i="1"/>
  <c r="C1462" i="1"/>
  <c r="D1462" i="1"/>
  <c r="A1463" i="1"/>
  <c r="B1463" i="1"/>
  <c r="C1463" i="1"/>
  <c r="D1463" i="1"/>
  <c r="A1464" i="1"/>
  <c r="B1464" i="1"/>
  <c r="C1464" i="1"/>
  <c r="D1464" i="1"/>
  <c r="A1465" i="1"/>
  <c r="B1465" i="1"/>
  <c r="C1465" i="1"/>
  <c r="D1465" i="1"/>
  <c r="A1466" i="1"/>
  <c r="B1466" i="1"/>
  <c r="C1466" i="1"/>
  <c r="D1466" i="1"/>
  <c r="A1467" i="1"/>
  <c r="B1467" i="1"/>
  <c r="C1467" i="1"/>
  <c r="D1467" i="1"/>
  <c r="A1468" i="1"/>
  <c r="B1468" i="1"/>
  <c r="C1468" i="1"/>
  <c r="D1468" i="1"/>
  <c r="A1469" i="1"/>
  <c r="B1469" i="1"/>
  <c r="C1469" i="1"/>
  <c r="D1469" i="1"/>
  <c r="A1470" i="1"/>
  <c r="B1470" i="1"/>
  <c r="C1470" i="1"/>
  <c r="D1470" i="1"/>
  <c r="A1471" i="1"/>
  <c r="B1471" i="1"/>
  <c r="C1471" i="1"/>
  <c r="D1471" i="1"/>
  <c r="A1472" i="1"/>
  <c r="B1472" i="1"/>
  <c r="C1472" i="1"/>
  <c r="D1472" i="1"/>
  <c r="A1473" i="1"/>
  <c r="B1473" i="1"/>
  <c r="C1473" i="1"/>
  <c r="D1473" i="1"/>
  <c r="A1474" i="1"/>
  <c r="B1474" i="1"/>
  <c r="C1474" i="1"/>
  <c r="D1474" i="1"/>
  <c r="A1475" i="1"/>
  <c r="B1475" i="1"/>
  <c r="C1475" i="1"/>
  <c r="D1475" i="1"/>
  <c r="A1476" i="1"/>
  <c r="B1476" i="1"/>
  <c r="C1476" i="1"/>
  <c r="D1476" i="1"/>
  <c r="A1477" i="1"/>
  <c r="B1477" i="1"/>
  <c r="C1477" i="1"/>
  <c r="D1477" i="1"/>
  <c r="A1478" i="1"/>
  <c r="B1478" i="1"/>
  <c r="C1478" i="1"/>
  <c r="D1478" i="1"/>
  <c r="A1479" i="1"/>
  <c r="B1479" i="1"/>
  <c r="C1479" i="1"/>
  <c r="D1479" i="1"/>
  <c r="A1480" i="1"/>
  <c r="B1480" i="1"/>
  <c r="C1480" i="1"/>
  <c r="D1480" i="1"/>
  <c r="A1481" i="1"/>
  <c r="B1481" i="1"/>
  <c r="C1481" i="1"/>
  <c r="D1481" i="1"/>
  <c r="A1482" i="1"/>
  <c r="B1482" i="1"/>
  <c r="C1482" i="1"/>
  <c r="D1482" i="1"/>
  <c r="A1483" i="1"/>
  <c r="B1483" i="1"/>
  <c r="C1483" i="1"/>
  <c r="D1483" i="1"/>
  <c r="A1484" i="1"/>
  <c r="B1484" i="1"/>
  <c r="C1484" i="1"/>
  <c r="D1484" i="1"/>
  <c r="A1485" i="1"/>
  <c r="B1485" i="1"/>
  <c r="C1485" i="1"/>
  <c r="D1485" i="1"/>
  <c r="A1486" i="1"/>
  <c r="B1486" i="1"/>
  <c r="C1486" i="1"/>
  <c r="D1486" i="1"/>
  <c r="A1487" i="1"/>
  <c r="B1487" i="1"/>
  <c r="C1487" i="1"/>
  <c r="D1487" i="1"/>
  <c r="A1488" i="1"/>
  <c r="B1488" i="1"/>
  <c r="C1488" i="1"/>
  <c r="D1488" i="1"/>
  <c r="A1489" i="1"/>
  <c r="B1489" i="1"/>
  <c r="C1489" i="1"/>
  <c r="D1489" i="1"/>
  <c r="A1490" i="1"/>
  <c r="B1490" i="1"/>
  <c r="C1490" i="1"/>
  <c r="D1490" i="1"/>
  <c r="A1491" i="1"/>
  <c r="B1491" i="1"/>
  <c r="C1491" i="1"/>
  <c r="D1491" i="1"/>
  <c r="A1492" i="1"/>
  <c r="B1492" i="1"/>
  <c r="C1492" i="1"/>
  <c r="D1492" i="1"/>
  <c r="A1493" i="1"/>
  <c r="B1493" i="1"/>
  <c r="C1493" i="1"/>
  <c r="D1493" i="1"/>
  <c r="A1494" i="1"/>
  <c r="B1494" i="1"/>
  <c r="C1494" i="1"/>
  <c r="D1494" i="1"/>
  <c r="A1495" i="1"/>
  <c r="B1495" i="1"/>
  <c r="C1495" i="1"/>
  <c r="D1495" i="1"/>
  <c r="A1496" i="1"/>
  <c r="B1496" i="1"/>
  <c r="C1496" i="1"/>
  <c r="D1496" i="1"/>
  <c r="A1497" i="1"/>
  <c r="B1497" i="1"/>
  <c r="C1497" i="1"/>
  <c r="D1497" i="1"/>
  <c r="A1498" i="1"/>
  <c r="B1498" i="1"/>
  <c r="C1498" i="1"/>
  <c r="D1498" i="1"/>
  <c r="A1499" i="1"/>
  <c r="B1499" i="1"/>
  <c r="C1499" i="1"/>
  <c r="D1499" i="1"/>
  <c r="A1500" i="1"/>
  <c r="B1500" i="1"/>
  <c r="C1500" i="1"/>
  <c r="D1500" i="1"/>
  <c r="A1501" i="1"/>
  <c r="B1501" i="1"/>
  <c r="C1501" i="1"/>
  <c r="D1501" i="1"/>
  <c r="A1502" i="1"/>
  <c r="B1502" i="1"/>
  <c r="C1502" i="1"/>
  <c r="D1502" i="1"/>
  <c r="A1503" i="1"/>
  <c r="B1503" i="1"/>
  <c r="C1503" i="1"/>
  <c r="D1503" i="1"/>
  <c r="A1504" i="1"/>
  <c r="B1504" i="1"/>
  <c r="C1504" i="1"/>
  <c r="D1504" i="1"/>
  <c r="A1505" i="1"/>
  <c r="B1505" i="1"/>
  <c r="C1505" i="1"/>
  <c r="D1505" i="1"/>
  <c r="A1506" i="1"/>
  <c r="B1506" i="1"/>
  <c r="C1506" i="1"/>
  <c r="D1506" i="1"/>
  <c r="A1507" i="1"/>
  <c r="B1507" i="1"/>
  <c r="C1507" i="1"/>
  <c r="D1507" i="1"/>
  <c r="A1508" i="1"/>
  <c r="B1508" i="1"/>
  <c r="C1508" i="1"/>
  <c r="D1508" i="1"/>
  <c r="A1509" i="1"/>
  <c r="B1509" i="1"/>
  <c r="C1509" i="1"/>
  <c r="D1509" i="1"/>
  <c r="A1510" i="1"/>
  <c r="B1510" i="1"/>
  <c r="C1510" i="1"/>
  <c r="D1510" i="1"/>
  <c r="A1511" i="1"/>
  <c r="B1511" i="1"/>
  <c r="C1511" i="1"/>
  <c r="D1511" i="1"/>
  <c r="A1512" i="1"/>
  <c r="B1512" i="1"/>
  <c r="C1512" i="1"/>
  <c r="D1512" i="1"/>
  <c r="A1513" i="1"/>
  <c r="B1513" i="1"/>
  <c r="C1513" i="1"/>
  <c r="D1513" i="1"/>
  <c r="A1514" i="1"/>
  <c r="B1514" i="1"/>
  <c r="C1514" i="1"/>
  <c r="D1514" i="1"/>
  <c r="A1515" i="1"/>
  <c r="B1515" i="1"/>
  <c r="C1515" i="1"/>
  <c r="D1515" i="1"/>
  <c r="A1516" i="1"/>
  <c r="B1516" i="1"/>
  <c r="C1516" i="1"/>
  <c r="D1516" i="1"/>
  <c r="A1517" i="1"/>
  <c r="B1517" i="1"/>
  <c r="C1517" i="1"/>
  <c r="D1517" i="1"/>
  <c r="A1518" i="1"/>
  <c r="B1518" i="1"/>
  <c r="C1518" i="1"/>
  <c r="D1518" i="1"/>
  <c r="A1519" i="1"/>
  <c r="B1519" i="1"/>
  <c r="C1519" i="1"/>
  <c r="D1519" i="1"/>
  <c r="A1520" i="1"/>
  <c r="B1520" i="1"/>
  <c r="C1520" i="1"/>
  <c r="D1520" i="1"/>
  <c r="A1521" i="1"/>
  <c r="B1521" i="1"/>
  <c r="C1521" i="1"/>
  <c r="D1521" i="1"/>
  <c r="A1522" i="1"/>
  <c r="B1522" i="1"/>
  <c r="C1522" i="1"/>
  <c r="D1522" i="1"/>
  <c r="A1523" i="1"/>
  <c r="B1523" i="1"/>
  <c r="C1523" i="1"/>
  <c r="D1523" i="1"/>
  <c r="A1524" i="1"/>
  <c r="B1524" i="1"/>
  <c r="C1524" i="1"/>
  <c r="D1524" i="1"/>
  <c r="A1525" i="1"/>
  <c r="B1525" i="1"/>
  <c r="C1525" i="1"/>
  <c r="D1525" i="1"/>
  <c r="A1526" i="1"/>
  <c r="B1526" i="1"/>
  <c r="C1526" i="1"/>
  <c r="D1526" i="1"/>
  <c r="A1527" i="1"/>
  <c r="B1527" i="1"/>
  <c r="C1527" i="1"/>
  <c r="D1527" i="1"/>
  <c r="A1528" i="1"/>
  <c r="B1528" i="1"/>
  <c r="C1528" i="1"/>
  <c r="D1528" i="1"/>
  <c r="A1529" i="1"/>
  <c r="B1529" i="1"/>
  <c r="C1529" i="1"/>
  <c r="D1529" i="1"/>
  <c r="A1530" i="1"/>
  <c r="B1530" i="1"/>
  <c r="C1530" i="1"/>
  <c r="D1530" i="1"/>
  <c r="A1531" i="1"/>
  <c r="B1531" i="1"/>
  <c r="C1531" i="1"/>
  <c r="D1531" i="1"/>
  <c r="A1532" i="1"/>
  <c r="B1532" i="1"/>
  <c r="C1532" i="1"/>
  <c r="D1532" i="1"/>
  <c r="A1533" i="1"/>
  <c r="B1533" i="1"/>
  <c r="C1533" i="1"/>
  <c r="D1533" i="1"/>
  <c r="A1534" i="1"/>
  <c r="B1534" i="1"/>
  <c r="C1534" i="1"/>
  <c r="D1534" i="1"/>
  <c r="A1535" i="1"/>
  <c r="B1535" i="1"/>
  <c r="C1535" i="1"/>
  <c r="D1535" i="1"/>
  <c r="A1536" i="1"/>
  <c r="B1536" i="1"/>
  <c r="C1536" i="1"/>
  <c r="D1536" i="1"/>
  <c r="A1537" i="1"/>
  <c r="B1537" i="1"/>
  <c r="C1537" i="1"/>
  <c r="D1537" i="1"/>
  <c r="A1538" i="1"/>
  <c r="B1538" i="1"/>
  <c r="C1538" i="1"/>
  <c r="D1538" i="1"/>
  <c r="A1539" i="1"/>
  <c r="B1539" i="1"/>
  <c r="C1539" i="1"/>
  <c r="D1539" i="1"/>
  <c r="A1540" i="1"/>
  <c r="B1540" i="1"/>
  <c r="C1540" i="1"/>
  <c r="D1540" i="1"/>
  <c r="A1541" i="1"/>
  <c r="B1541" i="1"/>
  <c r="C1541" i="1"/>
  <c r="D1541" i="1"/>
  <c r="A1542" i="1"/>
  <c r="B1542" i="1"/>
  <c r="C1542" i="1"/>
  <c r="D1542" i="1"/>
  <c r="A1543" i="1"/>
  <c r="B1543" i="1"/>
  <c r="C1543" i="1"/>
  <c r="D1543" i="1"/>
  <c r="A1544" i="1"/>
  <c r="B1544" i="1"/>
  <c r="C1544" i="1"/>
  <c r="D1544" i="1"/>
  <c r="A1545" i="1"/>
  <c r="B1545" i="1"/>
  <c r="C1545" i="1"/>
  <c r="D1545" i="1"/>
  <c r="A1546" i="1"/>
  <c r="B1546" i="1"/>
  <c r="C1546" i="1"/>
  <c r="D1546" i="1"/>
  <c r="A1547" i="1"/>
  <c r="B1547" i="1"/>
  <c r="C1547" i="1"/>
  <c r="D1547" i="1"/>
  <c r="A1548" i="1"/>
  <c r="B1548" i="1"/>
  <c r="C1548" i="1"/>
  <c r="D1548" i="1"/>
  <c r="A1549" i="1"/>
  <c r="B1549" i="1"/>
  <c r="C1549" i="1"/>
  <c r="D1549" i="1"/>
  <c r="A1550" i="1"/>
  <c r="B1550" i="1"/>
  <c r="C1550" i="1"/>
  <c r="D1550" i="1"/>
  <c r="A1551" i="1"/>
  <c r="B1551" i="1"/>
  <c r="C1551" i="1"/>
  <c r="D1551" i="1"/>
  <c r="A1552" i="1"/>
  <c r="B1552" i="1"/>
  <c r="C1552" i="1"/>
  <c r="D1552" i="1"/>
  <c r="A1553" i="1"/>
  <c r="B1553" i="1"/>
  <c r="C1553" i="1"/>
  <c r="D1553" i="1"/>
  <c r="A1554" i="1"/>
  <c r="B1554" i="1"/>
  <c r="C1554" i="1"/>
  <c r="D1554" i="1"/>
  <c r="A1555" i="1"/>
  <c r="B1555" i="1"/>
  <c r="C1555" i="1"/>
  <c r="D1555" i="1"/>
  <c r="A1556" i="1"/>
  <c r="B1556" i="1"/>
  <c r="C1556" i="1"/>
  <c r="D1556" i="1"/>
  <c r="A1557" i="1"/>
  <c r="B1557" i="1"/>
  <c r="C1557" i="1"/>
  <c r="D1557" i="1"/>
  <c r="A1558" i="1"/>
  <c r="B1558" i="1"/>
  <c r="C1558" i="1"/>
  <c r="D1558" i="1"/>
  <c r="A1559" i="1"/>
  <c r="B1559" i="1"/>
  <c r="C1559" i="1"/>
  <c r="D1559" i="1"/>
  <c r="A1560" i="1"/>
  <c r="B1560" i="1"/>
  <c r="C1560" i="1"/>
  <c r="D1560" i="1"/>
  <c r="A1561" i="1"/>
  <c r="B1561" i="1"/>
  <c r="C1561" i="1"/>
  <c r="D1561" i="1"/>
  <c r="A1562" i="1"/>
  <c r="B1562" i="1"/>
  <c r="C1562" i="1"/>
  <c r="D1562" i="1"/>
  <c r="A1563" i="1"/>
  <c r="B1563" i="1"/>
  <c r="C1563" i="1"/>
  <c r="D1563" i="1"/>
  <c r="A1564" i="1"/>
  <c r="B1564" i="1"/>
  <c r="C1564" i="1"/>
  <c r="D1564" i="1"/>
  <c r="A1565" i="1"/>
  <c r="B1565" i="1"/>
  <c r="C1565" i="1"/>
  <c r="D1565" i="1"/>
  <c r="A1566" i="1"/>
  <c r="B1566" i="1"/>
  <c r="C1566" i="1"/>
  <c r="D1566" i="1"/>
  <c r="A1567" i="1"/>
  <c r="B1567" i="1"/>
  <c r="C1567" i="1"/>
  <c r="D1567" i="1"/>
  <c r="A1568" i="1"/>
  <c r="B1568" i="1"/>
  <c r="C1568" i="1"/>
  <c r="D1568" i="1"/>
  <c r="A1569" i="1"/>
  <c r="B1569" i="1"/>
  <c r="C1569" i="1"/>
  <c r="D1569" i="1"/>
  <c r="A1570" i="1"/>
  <c r="B1570" i="1"/>
  <c r="C1570" i="1"/>
  <c r="D1570" i="1"/>
  <c r="A1571" i="1"/>
  <c r="B1571" i="1"/>
  <c r="C1571" i="1"/>
  <c r="D1571" i="1"/>
  <c r="A1572" i="1"/>
  <c r="B1572" i="1"/>
  <c r="C1572" i="1"/>
  <c r="D1572" i="1"/>
  <c r="A1573" i="1"/>
  <c r="B1573" i="1"/>
  <c r="C1573" i="1"/>
  <c r="D1573" i="1"/>
  <c r="A1574" i="1"/>
  <c r="B1574" i="1"/>
  <c r="C1574" i="1"/>
  <c r="D1574" i="1"/>
  <c r="A1575" i="1"/>
  <c r="B1575" i="1"/>
  <c r="C1575" i="1"/>
  <c r="D1575" i="1"/>
  <c r="A1576" i="1"/>
  <c r="B1576" i="1"/>
  <c r="C1576" i="1"/>
  <c r="D1576" i="1"/>
  <c r="A1577" i="1"/>
  <c r="B1577" i="1"/>
  <c r="C1577" i="1"/>
  <c r="D1577" i="1"/>
  <c r="A1578" i="1"/>
  <c r="B1578" i="1"/>
  <c r="C1578" i="1"/>
  <c r="D1578" i="1"/>
  <c r="A1579" i="1"/>
  <c r="B1579" i="1"/>
  <c r="C1579" i="1"/>
  <c r="D1579" i="1"/>
  <c r="A1580" i="1"/>
  <c r="B1580" i="1"/>
  <c r="C1580" i="1"/>
  <c r="D1580" i="1"/>
  <c r="A1581" i="1"/>
  <c r="B1581" i="1"/>
  <c r="C1581" i="1"/>
  <c r="D1581" i="1"/>
  <c r="A1582" i="1"/>
  <c r="B1582" i="1"/>
  <c r="C1582" i="1"/>
  <c r="D1582" i="1"/>
  <c r="A1583" i="1"/>
  <c r="B1583" i="1"/>
  <c r="C1583" i="1"/>
  <c r="D1583" i="1"/>
  <c r="A1584" i="1"/>
  <c r="B1584" i="1"/>
  <c r="C1584" i="1"/>
  <c r="D1584" i="1"/>
  <c r="A1585" i="1"/>
  <c r="B1585" i="1"/>
  <c r="C1585" i="1"/>
  <c r="D1585" i="1"/>
  <c r="A1586" i="1"/>
  <c r="B1586" i="1"/>
  <c r="C1586" i="1"/>
  <c r="D1586" i="1"/>
  <c r="A1587" i="1"/>
  <c r="B1587" i="1"/>
  <c r="C1587" i="1"/>
  <c r="D1587" i="1"/>
  <c r="A1588" i="1"/>
  <c r="B1588" i="1"/>
  <c r="C1588" i="1"/>
  <c r="D1588" i="1"/>
  <c r="A1589" i="1"/>
  <c r="B1589" i="1"/>
  <c r="C1589" i="1"/>
  <c r="D1589" i="1"/>
  <c r="A1590" i="1"/>
  <c r="B1590" i="1"/>
  <c r="C1590" i="1"/>
  <c r="D1590" i="1"/>
  <c r="A1591" i="1"/>
  <c r="B1591" i="1"/>
  <c r="C1591" i="1"/>
  <c r="D1591" i="1"/>
  <c r="A1592" i="1"/>
  <c r="B1592" i="1"/>
  <c r="C1592" i="1"/>
  <c r="D1592" i="1"/>
  <c r="A1593" i="1"/>
  <c r="B1593" i="1"/>
  <c r="C1593" i="1"/>
  <c r="D1593" i="1"/>
  <c r="A1594" i="1"/>
  <c r="B1594" i="1"/>
  <c r="C1594" i="1"/>
  <c r="D1594" i="1"/>
  <c r="A1595" i="1"/>
  <c r="B1595" i="1"/>
  <c r="C1595" i="1"/>
  <c r="D1595" i="1"/>
  <c r="A1596" i="1"/>
  <c r="B1596" i="1"/>
  <c r="C1596" i="1"/>
  <c r="D1596" i="1"/>
  <c r="A1597" i="1"/>
  <c r="B1597" i="1"/>
  <c r="C1597" i="1"/>
  <c r="D1597" i="1"/>
  <c r="A1598" i="1"/>
  <c r="B1598" i="1"/>
  <c r="C1598" i="1"/>
  <c r="D1598" i="1"/>
  <c r="A1599" i="1"/>
  <c r="B1599" i="1"/>
  <c r="C1599" i="1"/>
  <c r="D1599" i="1"/>
  <c r="A1600" i="1"/>
  <c r="B1600" i="1"/>
  <c r="C1600" i="1"/>
  <c r="D1600" i="1"/>
  <c r="A1601" i="1"/>
  <c r="B1601" i="1"/>
  <c r="C1601" i="1"/>
  <c r="D1601" i="1"/>
  <c r="A1602" i="1"/>
  <c r="B1602" i="1"/>
  <c r="C1602" i="1"/>
  <c r="D1602" i="1"/>
  <c r="A1603" i="1"/>
  <c r="B1603" i="1"/>
  <c r="C1603" i="1"/>
  <c r="D1603" i="1"/>
  <c r="A1604" i="1"/>
  <c r="B1604" i="1"/>
  <c r="C1604" i="1"/>
  <c r="D1604" i="1"/>
  <c r="A1605" i="1"/>
  <c r="B1605" i="1"/>
  <c r="C1605" i="1"/>
  <c r="D1605" i="1"/>
  <c r="A1606" i="1"/>
  <c r="B1606" i="1"/>
  <c r="C1606" i="1"/>
  <c r="D1606" i="1"/>
  <c r="A1607" i="1"/>
  <c r="B1607" i="1"/>
  <c r="C1607" i="1"/>
  <c r="D1607" i="1"/>
  <c r="A1608" i="1"/>
  <c r="B1608" i="1"/>
  <c r="C1608" i="1"/>
  <c r="D1608" i="1"/>
  <c r="A1609" i="1"/>
  <c r="B1609" i="1"/>
  <c r="C1609" i="1"/>
  <c r="D1609" i="1"/>
  <c r="A1610" i="1"/>
  <c r="B1610" i="1"/>
  <c r="C1610" i="1"/>
  <c r="D1610" i="1"/>
  <c r="A1611" i="1"/>
  <c r="B1611" i="1"/>
  <c r="C1611" i="1"/>
  <c r="D1611" i="1"/>
  <c r="A1612" i="1"/>
  <c r="B1612" i="1"/>
  <c r="C1612" i="1"/>
  <c r="D1612" i="1"/>
  <c r="A1613" i="1"/>
  <c r="B1613" i="1"/>
  <c r="C1613" i="1"/>
  <c r="D1613" i="1"/>
  <c r="A1614" i="1"/>
  <c r="B1614" i="1"/>
  <c r="C1614" i="1"/>
  <c r="D1614" i="1"/>
  <c r="A1615" i="1"/>
  <c r="B1615" i="1"/>
  <c r="C1615" i="1"/>
  <c r="D1615" i="1"/>
  <c r="A1616" i="1"/>
  <c r="B1616" i="1"/>
  <c r="C1616" i="1"/>
  <c r="D1616" i="1"/>
  <c r="A1617" i="1"/>
  <c r="B1617" i="1"/>
  <c r="C1617" i="1"/>
  <c r="D1617" i="1"/>
  <c r="A1618" i="1"/>
  <c r="B1618" i="1"/>
  <c r="C1618" i="1"/>
  <c r="D1618" i="1"/>
  <c r="A1619" i="1"/>
  <c r="B1619" i="1"/>
  <c r="C1619" i="1"/>
  <c r="D1619" i="1"/>
  <c r="A1620" i="1"/>
  <c r="B1620" i="1"/>
  <c r="C1620" i="1"/>
  <c r="D1620" i="1"/>
  <c r="A1621" i="1"/>
  <c r="B1621" i="1"/>
  <c r="C1621" i="1"/>
  <c r="D1621" i="1"/>
  <c r="A1622" i="1"/>
  <c r="B1622" i="1"/>
  <c r="C1622" i="1"/>
  <c r="D1622" i="1"/>
  <c r="A1623" i="1"/>
  <c r="B1623" i="1"/>
  <c r="C1623" i="1"/>
  <c r="D1623" i="1"/>
  <c r="A1624" i="1"/>
  <c r="B1624" i="1"/>
  <c r="C1624" i="1"/>
  <c r="D1624" i="1"/>
  <c r="A1625" i="1"/>
  <c r="B1625" i="1"/>
  <c r="C1625" i="1"/>
  <c r="D1625" i="1"/>
  <c r="A1626" i="1"/>
  <c r="B1626" i="1"/>
  <c r="C1626" i="1"/>
  <c r="D1626" i="1"/>
  <c r="A1627" i="1"/>
  <c r="B1627" i="1"/>
  <c r="C1627" i="1"/>
  <c r="D1627" i="1"/>
  <c r="A1628" i="1"/>
  <c r="B1628" i="1"/>
  <c r="C1628" i="1"/>
  <c r="D1628" i="1"/>
  <c r="A1629" i="1"/>
  <c r="B1629" i="1"/>
  <c r="C1629" i="1"/>
  <c r="D1629" i="1"/>
  <c r="A1630" i="1"/>
  <c r="B1630" i="1"/>
  <c r="C1630" i="1"/>
  <c r="D1630" i="1"/>
  <c r="A1631" i="1"/>
  <c r="B1631" i="1"/>
  <c r="C1631" i="1"/>
  <c r="D1631" i="1"/>
  <c r="A1632" i="1"/>
  <c r="B1632" i="1"/>
  <c r="C1632" i="1"/>
  <c r="D1632" i="1"/>
  <c r="A1633" i="1"/>
  <c r="B1633" i="1"/>
  <c r="C1633" i="1"/>
  <c r="D1633" i="1"/>
  <c r="A1634" i="1"/>
  <c r="B1634" i="1"/>
  <c r="C1634" i="1"/>
  <c r="D1634" i="1"/>
  <c r="A1635" i="1"/>
  <c r="B1635" i="1"/>
  <c r="C1635" i="1"/>
  <c r="D1635" i="1"/>
  <c r="A1636" i="1"/>
  <c r="B1636" i="1"/>
  <c r="C1636" i="1"/>
  <c r="D1636" i="1"/>
  <c r="A1637" i="1"/>
  <c r="B1637" i="1"/>
  <c r="C1637" i="1"/>
  <c r="D1637" i="1"/>
  <c r="A1638" i="1"/>
  <c r="B1638" i="1"/>
  <c r="C1638" i="1"/>
  <c r="D1638" i="1"/>
  <c r="A1639" i="1"/>
  <c r="B1639" i="1"/>
  <c r="C1639" i="1"/>
  <c r="D1639" i="1"/>
  <c r="A1640" i="1"/>
  <c r="B1640" i="1"/>
  <c r="C1640" i="1"/>
  <c r="D1640" i="1"/>
  <c r="A1641" i="1"/>
  <c r="B1641" i="1"/>
  <c r="C1641" i="1"/>
  <c r="D1641" i="1"/>
  <c r="A1642" i="1"/>
  <c r="B1642" i="1"/>
  <c r="C1642" i="1"/>
  <c r="D1642" i="1"/>
  <c r="A1643" i="1"/>
  <c r="B1643" i="1"/>
  <c r="C1643" i="1"/>
  <c r="D1643" i="1"/>
  <c r="A1644" i="1"/>
  <c r="B1644" i="1"/>
  <c r="C1644" i="1"/>
  <c r="D1644" i="1"/>
  <c r="A1645" i="1"/>
  <c r="B1645" i="1"/>
  <c r="C1645" i="1"/>
  <c r="D1645" i="1"/>
  <c r="A1646" i="1"/>
  <c r="B1646" i="1"/>
  <c r="C1646" i="1"/>
  <c r="D1646" i="1"/>
  <c r="A1647" i="1"/>
  <c r="B1647" i="1"/>
  <c r="C1647" i="1"/>
  <c r="D1647" i="1"/>
  <c r="A1648" i="1"/>
  <c r="B1648" i="1"/>
  <c r="C1648" i="1"/>
  <c r="D1648" i="1"/>
  <c r="A1649" i="1"/>
  <c r="B1649" i="1"/>
  <c r="C1649" i="1"/>
  <c r="D1649" i="1"/>
  <c r="A1650" i="1"/>
  <c r="B1650" i="1"/>
  <c r="C1650" i="1"/>
  <c r="D1650" i="1"/>
  <c r="A1651" i="1"/>
  <c r="B1651" i="1"/>
  <c r="C1651" i="1"/>
  <c r="D1651" i="1"/>
  <c r="A1652" i="1"/>
  <c r="B1652" i="1"/>
  <c r="C1652" i="1"/>
  <c r="D1652" i="1"/>
  <c r="A1653" i="1"/>
  <c r="B1653" i="1"/>
  <c r="C1653" i="1"/>
  <c r="D1653" i="1"/>
  <c r="A1654" i="1"/>
  <c r="B1654" i="1"/>
  <c r="C1654" i="1"/>
  <c r="D1654" i="1"/>
  <c r="A1655" i="1"/>
  <c r="B1655" i="1"/>
  <c r="C1655" i="1"/>
  <c r="D1655" i="1"/>
  <c r="A1656" i="1"/>
  <c r="B1656" i="1"/>
  <c r="C1656" i="1"/>
  <c r="D1656" i="1"/>
  <c r="A1657" i="1"/>
  <c r="B1657" i="1"/>
  <c r="C1657" i="1"/>
  <c r="D1657" i="1"/>
  <c r="A1658" i="1"/>
  <c r="B1658" i="1"/>
  <c r="C1658" i="1"/>
  <c r="D1658" i="1"/>
  <c r="A1659" i="1"/>
  <c r="B1659" i="1"/>
  <c r="C1659" i="1"/>
  <c r="D1659" i="1"/>
  <c r="A1660" i="1"/>
  <c r="B1660" i="1"/>
  <c r="C1660" i="1"/>
  <c r="D1660" i="1"/>
  <c r="A1661" i="1"/>
  <c r="B1661" i="1"/>
  <c r="C1661" i="1"/>
  <c r="D1661" i="1"/>
  <c r="A1662" i="1"/>
  <c r="B1662" i="1"/>
  <c r="C1662" i="1"/>
  <c r="D1662" i="1"/>
  <c r="A1663" i="1"/>
  <c r="B1663" i="1"/>
  <c r="C1663" i="1"/>
  <c r="D1663" i="1"/>
  <c r="A1664" i="1"/>
  <c r="B1664" i="1"/>
  <c r="C1664" i="1"/>
  <c r="D1664" i="1"/>
  <c r="A1665" i="1"/>
  <c r="B1665" i="1"/>
  <c r="C1665" i="1"/>
  <c r="D1665" i="1"/>
  <c r="A1666" i="1"/>
  <c r="B1666" i="1"/>
  <c r="C1666" i="1"/>
  <c r="D1666" i="1"/>
  <c r="A1667" i="1"/>
  <c r="B1667" i="1"/>
  <c r="C1667" i="1"/>
  <c r="D1667" i="1"/>
  <c r="A1668" i="1"/>
  <c r="B1668" i="1"/>
  <c r="C1668" i="1"/>
  <c r="D1668" i="1"/>
  <c r="A1669" i="1"/>
  <c r="B1669" i="1"/>
  <c r="C1669" i="1"/>
  <c r="D1669" i="1"/>
  <c r="A1670" i="1"/>
  <c r="B1670" i="1"/>
  <c r="C1670" i="1"/>
  <c r="D1670" i="1"/>
  <c r="A1671" i="1"/>
  <c r="B1671" i="1"/>
  <c r="C1671" i="1"/>
  <c r="D1671" i="1"/>
  <c r="A1672" i="1"/>
  <c r="B1672" i="1"/>
  <c r="C1672" i="1"/>
  <c r="D1672" i="1"/>
  <c r="A1673" i="1"/>
  <c r="B1673" i="1"/>
  <c r="C1673" i="1"/>
  <c r="D1673" i="1"/>
  <c r="A1674" i="1"/>
  <c r="B1674" i="1"/>
  <c r="C1674" i="1"/>
  <c r="D1674" i="1"/>
  <c r="A1675" i="1"/>
  <c r="B1675" i="1"/>
  <c r="C1675" i="1"/>
  <c r="D1675" i="1"/>
  <c r="A1676" i="1"/>
  <c r="B1676" i="1"/>
  <c r="C1676" i="1"/>
  <c r="D1676" i="1"/>
  <c r="A1677" i="1"/>
  <c r="B1677" i="1"/>
  <c r="C1677" i="1"/>
  <c r="D1677" i="1"/>
  <c r="A1678" i="1"/>
  <c r="B1678" i="1"/>
  <c r="C1678" i="1"/>
  <c r="D1678" i="1"/>
  <c r="A1679" i="1"/>
  <c r="B1679" i="1"/>
  <c r="C1679" i="1"/>
  <c r="D1679" i="1"/>
  <c r="A1680" i="1"/>
  <c r="B1680" i="1"/>
  <c r="C1680" i="1"/>
  <c r="D1680" i="1"/>
  <c r="A1681" i="1"/>
  <c r="B1681" i="1"/>
  <c r="C1681" i="1"/>
  <c r="D1681" i="1"/>
  <c r="A1682" i="1"/>
  <c r="B1682" i="1"/>
  <c r="C1682" i="1"/>
  <c r="D1682" i="1"/>
  <c r="A1683" i="1"/>
  <c r="B1683" i="1"/>
  <c r="C1683" i="1"/>
  <c r="D1683" i="1"/>
  <c r="A1684" i="1"/>
  <c r="B1684" i="1"/>
  <c r="C1684" i="1"/>
  <c r="D1684" i="1"/>
  <c r="A1685" i="1"/>
  <c r="B1685" i="1"/>
  <c r="C1685" i="1"/>
  <c r="D1685" i="1"/>
  <c r="A1686" i="1"/>
  <c r="B1686" i="1"/>
  <c r="C1686" i="1"/>
  <c r="D1686" i="1"/>
  <c r="A1687" i="1"/>
  <c r="B1687" i="1"/>
  <c r="C1687" i="1"/>
  <c r="D1687" i="1"/>
  <c r="A1688" i="1"/>
  <c r="B1688" i="1"/>
  <c r="C1688" i="1"/>
  <c r="D1688" i="1"/>
  <c r="A1689" i="1"/>
  <c r="B1689" i="1"/>
  <c r="C1689" i="1"/>
  <c r="D1689" i="1"/>
  <c r="A1690" i="1"/>
  <c r="B1690" i="1"/>
  <c r="C1690" i="1"/>
  <c r="D1690" i="1"/>
  <c r="A1691" i="1"/>
  <c r="B1691" i="1"/>
  <c r="C1691" i="1"/>
  <c r="D1691" i="1"/>
  <c r="A1692" i="1"/>
  <c r="B1692" i="1"/>
  <c r="C1692" i="1"/>
  <c r="D1692" i="1"/>
  <c r="A1693" i="1"/>
  <c r="B1693" i="1"/>
  <c r="C1693" i="1"/>
  <c r="D1693" i="1"/>
  <c r="A1694" i="1"/>
  <c r="B1694" i="1"/>
  <c r="C1694" i="1"/>
  <c r="D1694" i="1"/>
  <c r="A1695" i="1"/>
  <c r="B1695" i="1"/>
  <c r="C1695" i="1"/>
  <c r="D1695" i="1"/>
  <c r="A1696" i="1"/>
  <c r="B1696" i="1"/>
  <c r="C1696" i="1"/>
  <c r="D1696" i="1"/>
  <c r="A1697" i="1"/>
  <c r="B1697" i="1"/>
  <c r="C1697" i="1"/>
  <c r="D1697" i="1"/>
  <c r="A1698" i="1"/>
  <c r="B1698" i="1"/>
  <c r="C1698" i="1"/>
  <c r="D1698" i="1"/>
  <c r="A1699" i="1"/>
  <c r="B1699" i="1"/>
  <c r="C1699" i="1"/>
  <c r="D1699" i="1"/>
  <c r="A1700" i="1"/>
  <c r="B1700" i="1"/>
  <c r="C1700" i="1"/>
  <c r="D1700" i="1"/>
  <c r="A1701" i="1"/>
  <c r="B1701" i="1"/>
  <c r="C1701" i="1"/>
  <c r="D1701" i="1"/>
  <c r="A1702" i="1"/>
  <c r="B1702" i="1"/>
  <c r="C1702" i="1"/>
  <c r="D1702" i="1"/>
  <c r="A1703" i="1"/>
  <c r="B1703" i="1"/>
  <c r="C1703" i="1"/>
  <c r="D1703" i="1"/>
  <c r="A1704" i="1"/>
  <c r="B1704" i="1"/>
  <c r="C1704" i="1"/>
  <c r="D1704" i="1"/>
  <c r="A1705" i="1"/>
  <c r="B1705" i="1"/>
  <c r="C1705" i="1"/>
  <c r="D1705" i="1"/>
  <c r="A1706" i="1"/>
  <c r="B1706" i="1"/>
  <c r="C1706" i="1"/>
  <c r="D1706" i="1"/>
  <c r="A1707" i="1"/>
  <c r="B1707" i="1"/>
  <c r="C1707" i="1"/>
  <c r="D1707" i="1"/>
  <c r="A1708" i="1"/>
  <c r="B1708" i="1"/>
  <c r="C1708" i="1"/>
  <c r="D1708" i="1"/>
  <c r="A1709" i="1"/>
  <c r="B1709" i="1"/>
  <c r="C1709" i="1"/>
  <c r="D1709" i="1"/>
  <c r="A1710" i="1"/>
  <c r="B1710" i="1"/>
  <c r="C1710" i="1"/>
  <c r="D1710" i="1"/>
  <c r="A1711" i="1"/>
  <c r="B1711" i="1"/>
  <c r="C1711" i="1"/>
  <c r="D1711" i="1"/>
  <c r="A1712" i="1"/>
  <c r="B1712" i="1"/>
  <c r="C1712" i="1"/>
  <c r="D1712" i="1"/>
  <c r="A1713" i="1"/>
  <c r="B1713" i="1"/>
  <c r="C1713" i="1"/>
  <c r="D1713" i="1"/>
  <c r="A1714" i="1"/>
  <c r="B1714" i="1"/>
  <c r="C1714" i="1"/>
  <c r="D1714" i="1"/>
  <c r="A1715" i="1"/>
  <c r="B1715" i="1"/>
  <c r="C1715" i="1"/>
  <c r="D1715" i="1"/>
  <c r="A1716" i="1"/>
  <c r="B1716" i="1"/>
  <c r="C1716" i="1"/>
  <c r="D1716" i="1"/>
  <c r="A1717" i="1"/>
  <c r="B1717" i="1"/>
  <c r="C1717" i="1"/>
  <c r="D1717" i="1"/>
  <c r="A1718" i="1"/>
  <c r="B1718" i="1"/>
  <c r="C1718" i="1"/>
  <c r="D1718" i="1"/>
  <c r="A1719" i="1"/>
  <c r="B1719" i="1"/>
  <c r="C1719" i="1"/>
  <c r="D1719" i="1"/>
  <c r="A1720" i="1"/>
  <c r="B1720" i="1"/>
  <c r="C1720" i="1"/>
  <c r="D1720" i="1"/>
  <c r="A1721" i="1"/>
  <c r="B1721" i="1"/>
  <c r="C1721" i="1"/>
  <c r="D1721" i="1"/>
  <c r="A1722" i="1"/>
  <c r="B1722" i="1"/>
  <c r="C1722" i="1"/>
  <c r="D1722" i="1"/>
  <c r="A1723" i="1"/>
  <c r="B1723" i="1"/>
  <c r="C1723" i="1"/>
  <c r="D1723" i="1"/>
  <c r="A1724" i="1"/>
  <c r="B1724" i="1"/>
  <c r="C1724" i="1"/>
  <c r="D1724" i="1"/>
  <c r="A1725" i="1"/>
  <c r="B1725" i="1"/>
  <c r="C1725" i="1"/>
  <c r="D1725" i="1"/>
  <c r="A1726" i="1"/>
  <c r="B1726" i="1"/>
  <c r="C1726" i="1"/>
  <c r="D1726" i="1"/>
  <c r="A1727" i="1"/>
  <c r="B1727" i="1"/>
  <c r="C1727" i="1"/>
  <c r="D1727" i="1"/>
  <c r="A1728" i="1"/>
  <c r="B1728" i="1"/>
  <c r="C1728" i="1"/>
  <c r="D1728" i="1"/>
  <c r="A1729" i="1"/>
  <c r="B1729" i="1"/>
  <c r="C1729" i="1"/>
  <c r="D1729" i="1"/>
  <c r="A1730" i="1"/>
  <c r="B1730" i="1"/>
  <c r="C1730" i="1"/>
  <c r="D1730" i="1"/>
  <c r="A1731" i="1"/>
  <c r="B1731" i="1"/>
  <c r="C1731" i="1"/>
  <c r="D1731" i="1"/>
  <c r="A1732" i="1"/>
  <c r="B1732" i="1"/>
  <c r="C1732" i="1"/>
  <c r="D1732" i="1"/>
  <c r="A1733" i="1"/>
  <c r="B1733" i="1"/>
  <c r="C1733" i="1"/>
  <c r="D1733" i="1"/>
  <c r="A1734" i="1"/>
  <c r="B1734" i="1"/>
  <c r="C1734" i="1"/>
  <c r="D1734" i="1"/>
  <c r="A1735" i="1"/>
  <c r="B1735" i="1"/>
  <c r="C1735" i="1"/>
  <c r="D1735" i="1"/>
  <c r="A1736" i="1"/>
  <c r="B1736" i="1"/>
  <c r="C1736" i="1"/>
  <c r="D1736" i="1"/>
  <c r="A1737" i="1"/>
  <c r="B1737" i="1"/>
  <c r="C1737" i="1"/>
  <c r="D1737" i="1"/>
  <c r="A1738" i="1"/>
  <c r="B1738" i="1"/>
  <c r="C1738" i="1"/>
  <c r="D1738" i="1"/>
  <c r="A1739" i="1"/>
  <c r="B1739" i="1"/>
  <c r="C1739" i="1"/>
  <c r="D1739" i="1"/>
  <c r="A1740" i="1"/>
  <c r="B1740" i="1"/>
  <c r="C1740" i="1"/>
  <c r="D1740" i="1"/>
  <c r="A1741" i="1"/>
  <c r="B1741" i="1"/>
  <c r="C1741" i="1"/>
  <c r="D1741" i="1"/>
  <c r="A1742" i="1"/>
  <c r="B1742" i="1"/>
  <c r="C1742" i="1"/>
  <c r="D1742" i="1"/>
  <c r="A1743" i="1"/>
  <c r="B1743" i="1"/>
  <c r="C1743" i="1"/>
  <c r="D1743" i="1"/>
  <c r="A1744" i="1"/>
  <c r="B1744" i="1"/>
  <c r="C1744" i="1"/>
  <c r="D1744" i="1"/>
  <c r="A1745" i="1"/>
  <c r="B1745" i="1"/>
  <c r="C1745" i="1"/>
  <c r="D1745" i="1"/>
  <c r="A1746" i="1"/>
  <c r="B1746" i="1"/>
  <c r="C1746" i="1"/>
  <c r="D1746" i="1"/>
  <c r="A1747" i="1"/>
  <c r="B1747" i="1"/>
  <c r="C1747" i="1"/>
  <c r="D1747" i="1"/>
  <c r="A1748" i="1"/>
  <c r="B1748" i="1"/>
  <c r="C1748" i="1"/>
  <c r="D1748" i="1"/>
  <c r="A1749" i="1"/>
  <c r="B1749" i="1"/>
  <c r="C1749" i="1"/>
  <c r="D1749" i="1"/>
  <c r="A1750" i="1"/>
  <c r="B1750" i="1"/>
  <c r="C1750" i="1"/>
  <c r="D1750" i="1"/>
  <c r="A1751" i="1"/>
  <c r="B1751" i="1"/>
  <c r="C1751" i="1"/>
  <c r="D1751" i="1"/>
  <c r="A1752" i="1"/>
  <c r="B1752" i="1"/>
  <c r="C1752" i="1"/>
  <c r="D1752" i="1"/>
  <c r="A1753" i="1"/>
  <c r="B1753" i="1"/>
  <c r="C1753" i="1"/>
  <c r="D1753" i="1"/>
  <c r="A1754" i="1"/>
  <c r="B1754" i="1"/>
  <c r="C1754" i="1"/>
  <c r="D1754" i="1"/>
  <c r="A1755" i="1"/>
  <c r="B1755" i="1"/>
  <c r="C1755" i="1"/>
  <c r="D1755" i="1"/>
  <c r="A1756" i="1"/>
  <c r="B1756" i="1"/>
  <c r="C1756" i="1"/>
  <c r="D1756" i="1"/>
  <c r="A1757" i="1"/>
  <c r="B1757" i="1"/>
  <c r="C1757" i="1"/>
  <c r="D1757" i="1"/>
  <c r="A1758" i="1"/>
  <c r="B1758" i="1"/>
  <c r="C1758" i="1"/>
  <c r="D1758" i="1"/>
  <c r="A1759" i="1"/>
  <c r="B1759" i="1"/>
  <c r="C1759" i="1"/>
  <c r="D1759" i="1"/>
  <c r="A1760" i="1"/>
  <c r="B1760" i="1"/>
  <c r="C1760" i="1"/>
  <c r="D1760" i="1"/>
  <c r="A1761" i="1"/>
  <c r="B1761" i="1"/>
  <c r="C1761" i="1"/>
  <c r="D1761" i="1"/>
  <c r="A1762" i="1"/>
  <c r="B1762" i="1"/>
  <c r="C1762" i="1"/>
  <c r="D1762" i="1"/>
  <c r="A1763" i="1"/>
  <c r="B1763" i="1"/>
  <c r="C1763" i="1"/>
  <c r="D1763" i="1"/>
  <c r="A1764" i="1"/>
  <c r="B1764" i="1"/>
  <c r="C1764" i="1"/>
  <c r="D1764" i="1"/>
  <c r="A1765" i="1"/>
  <c r="B1765" i="1"/>
  <c r="C1765" i="1"/>
  <c r="D1765" i="1"/>
  <c r="A1766" i="1"/>
  <c r="B1766" i="1"/>
  <c r="C1766" i="1"/>
  <c r="D1766" i="1"/>
  <c r="A1767" i="1"/>
  <c r="B1767" i="1"/>
  <c r="C1767" i="1"/>
  <c r="D1767" i="1"/>
  <c r="A1768" i="1"/>
  <c r="B1768" i="1"/>
  <c r="C1768" i="1"/>
  <c r="D1768" i="1"/>
  <c r="A1769" i="1"/>
  <c r="B1769" i="1"/>
  <c r="C1769" i="1"/>
  <c r="D1769" i="1"/>
  <c r="A1770" i="1"/>
  <c r="B1770" i="1"/>
  <c r="C1770" i="1"/>
  <c r="D1770" i="1"/>
  <c r="A1771" i="1"/>
  <c r="B1771" i="1"/>
  <c r="C1771" i="1"/>
  <c r="D1771" i="1"/>
  <c r="A1772" i="1"/>
  <c r="B1772" i="1"/>
  <c r="C1772" i="1"/>
  <c r="D1772" i="1"/>
  <c r="A1773" i="1"/>
  <c r="B1773" i="1"/>
  <c r="C1773" i="1"/>
  <c r="D1773" i="1"/>
  <c r="A1774" i="1"/>
  <c r="B1774" i="1"/>
  <c r="C1774" i="1"/>
  <c r="D1774" i="1"/>
  <c r="A1775" i="1"/>
  <c r="B1775" i="1"/>
  <c r="C1775" i="1"/>
  <c r="D1775" i="1"/>
  <c r="A1776" i="1"/>
  <c r="B1776" i="1"/>
  <c r="C1776" i="1"/>
  <c r="D1776" i="1"/>
  <c r="A1777" i="1"/>
  <c r="B1777" i="1"/>
  <c r="C1777" i="1"/>
  <c r="D1777" i="1"/>
  <c r="A1778" i="1"/>
  <c r="B1778" i="1"/>
  <c r="C1778" i="1"/>
  <c r="D1778" i="1"/>
  <c r="A1779" i="1"/>
  <c r="B1779" i="1"/>
  <c r="C1779" i="1"/>
  <c r="D1779" i="1"/>
  <c r="A1780" i="1"/>
  <c r="B1780" i="1"/>
  <c r="C1780" i="1"/>
  <c r="D1780" i="1"/>
  <c r="A1781" i="1"/>
  <c r="B1781" i="1"/>
  <c r="C1781" i="1"/>
  <c r="D1781" i="1"/>
  <c r="A1782" i="1"/>
  <c r="B1782" i="1"/>
  <c r="C1782" i="1"/>
  <c r="D1782" i="1"/>
  <c r="A1783" i="1"/>
  <c r="B1783" i="1"/>
  <c r="C1783" i="1"/>
  <c r="D1783" i="1"/>
  <c r="A1784" i="1"/>
  <c r="B1784" i="1"/>
  <c r="C1784" i="1"/>
  <c r="D1784" i="1"/>
  <c r="A1785" i="1"/>
  <c r="B1785" i="1"/>
  <c r="C1785" i="1"/>
  <c r="D1785" i="1"/>
  <c r="A1786" i="1"/>
  <c r="B1786" i="1"/>
  <c r="C1786" i="1"/>
  <c r="D1786" i="1"/>
  <c r="A1787" i="1"/>
  <c r="B1787" i="1"/>
  <c r="C1787" i="1"/>
  <c r="D1787" i="1"/>
  <c r="A1788" i="1"/>
  <c r="B1788" i="1"/>
  <c r="C1788" i="1"/>
  <c r="D1788" i="1"/>
  <c r="A1789" i="1"/>
  <c r="B1789" i="1"/>
  <c r="C1789" i="1"/>
  <c r="D1789" i="1"/>
  <c r="A1790" i="1"/>
  <c r="B1790" i="1"/>
  <c r="C1790" i="1"/>
  <c r="D1790" i="1"/>
  <c r="A1791" i="1"/>
  <c r="B1791" i="1"/>
  <c r="C1791" i="1"/>
  <c r="D1791" i="1"/>
  <c r="A1792" i="1"/>
  <c r="B1792" i="1"/>
  <c r="C1792" i="1"/>
  <c r="D1792" i="1"/>
  <c r="A1793" i="1"/>
  <c r="B1793" i="1"/>
  <c r="C1793" i="1"/>
  <c r="D1793" i="1"/>
  <c r="A1794" i="1"/>
  <c r="B1794" i="1"/>
  <c r="C1794" i="1"/>
  <c r="D1794" i="1"/>
  <c r="A1795" i="1"/>
  <c r="B1795" i="1"/>
  <c r="C1795" i="1"/>
  <c r="D1795" i="1"/>
  <c r="A1796" i="1"/>
  <c r="B1796" i="1"/>
  <c r="C1796" i="1"/>
  <c r="D1796" i="1"/>
  <c r="A1797" i="1"/>
  <c r="B1797" i="1"/>
  <c r="C1797" i="1"/>
  <c r="D1797" i="1"/>
  <c r="A1798" i="1"/>
  <c r="B1798" i="1"/>
  <c r="C1798" i="1"/>
  <c r="D1798" i="1"/>
  <c r="A1799" i="1"/>
  <c r="B1799" i="1"/>
  <c r="C1799" i="1"/>
  <c r="D1799" i="1"/>
  <c r="A1800" i="1"/>
  <c r="B1800" i="1"/>
  <c r="C1800" i="1"/>
  <c r="D1800" i="1"/>
  <c r="A1801" i="1"/>
  <c r="B1801" i="1"/>
  <c r="C1801" i="1"/>
  <c r="D1801" i="1"/>
  <c r="A1802" i="1"/>
  <c r="B1802" i="1"/>
  <c r="C1802" i="1"/>
  <c r="D1802" i="1"/>
  <c r="A1803" i="1"/>
  <c r="B1803" i="1"/>
  <c r="C1803" i="1"/>
  <c r="D1803" i="1"/>
  <c r="A1804" i="1"/>
  <c r="B1804" i="1"/>
  <c r="C1804" i="1"/>
  <c r="D1804" i="1"/>
  <c r="A1805" i="1"/>
  <c r="B1805" i="1"/>
  <c r="C1805" i="1"/>
  <c r="D1805" i="1"/>
  <c r="A1806" i="1"/>
  <c r="B1806" i="1"/>
  <c r="C1806" i="1"/>
  <c r="D1806" i="1"/>
  <c r="A1807" i="1"/>
  <c r="B1807" i="1"/>
  <c r="C1807" i="1"/>
  <c r="D1807" i="1"/>
  <c r="A1808" i="1"/>
  <c r="B1808" i="1"/>
  <c r="C1808" i="1"/>
  <c r="D1808" i="1"/>
  <c r="A1809" i="1"/>
  <c r="B1809" i="1"/>
  <c r="C1809" i="1"/>
  <c r="D1809" i="1"/>
  <c r="A1810" i="1"/>
  <c r="B1810" i="1"/>
  <c r="C1810" i="1"/>
  <c r="D1810" i="1"/>
  <c r="A1811" i="1"/>
  <c r="B1811" i="1"/>
  <c r="C1811" i="1"/>
  <c r="D1811" i="1"/>
  <c r="A1812" i="1"/>
  <c r="B1812" i="1"/>
  <c r="C1812" i="1"/>
  <c r="D1812" i="1"/>
  <c r="A1813" i="1"/>
  <c r="B1813" i="1"/>
  <c r="C1813" i="1"/>
  <c r="D1813" i="1"/>
  <c r="A1814" i="1"/>
  <c r="B1814" i="1"/>
  <c r="C1814" i="1"/>
  <c r="D1814" i="1"/>
  <c r="A1815" i="1"/>
  <c r="B1815" i="1"/>
  <c r="C1815" i="1"/>
  <c r="D1815" i="1"/>
  <c r="A1816" i="1"/>
  <c r="B1816" i="1"/>
  <c r="C1816" i="1"/>
  <c r="D1816" i="1"/>
  <c r="A1817" i="1"/>
  <c r="B1817" i="1"/>
  <c r="C1817" i="1"/>
  <c r="D1817" i="1"/>
  <c r="A1818" i="1"/>
  <c r="B1818" i="1"/>
  <c r="C1818" i="1"/>
  <c r="D1818" i="1"/>
  <c r="A1819" i="1"/>
  <c r="B1819" i="1"/>
  <c r="C1819" i="1"/>
  <c r="D1819" i="1"/>
  <c r="A1820" i="1"/>
  <c r="B1820" i="1"/>
  <c r="C1820" i="1"/>
  <c r="D1820" i="1"/>
  <c r="A1821" i="1"/>
  <c r="B1821" i="1"/>
  <c r="C1821" i="1"/>
  <c r="D1821" i="1"/>
  <c r="A1822" i="1"/>
  <c r="B1822" i="1"/>
  <c r="C1822" i="1"/>
  <c r="D1822" i="1"/>
  <c r="A1823" i="1"/>
  <c r="B1823" i="1"/>
  <c r="C1823" i="1"/>
  <c r="D1823" i="1"/>
  <c r="A1824" i="1"/>
  <c r="B1824" i="1"/>
  <c r="C1824" i="1"/>
  <c r="D1824" i="1"/>
  <c r="A1825" i="1"/>
  <c r="B1825" i="1"/>
  <c r="C1825" i="1"/>
  <c r="D1825" i="1"/>
  <c r="A1826" i="1"/>
  <c r="B1826" i="1"/>
  <c r="C1826" i="1"/>
  <c r="D1826" i="1"/>
  <c r="A1827" i="1"/>
  <c r="B1827" i="1"/>
  <c r="C1827" i="1"/>
  <c r="D1827" i="1"/>
  <c r="A1828" i="1"/>
  <c r="B1828" i="1"/>
  <c r="C1828" i="1"/>
  <c r="D1828" i="1"/>
  <c r="A1829" i="1"/>
  <c r="B1829" i="1"/>
  <c r="C1829" i="1"/>
  <c r="D1829" i="1"/>
  <c r="A1830" i="1"/>
  <c r="B1830" i="1"/>
  <c r="C1830" i="1"/>
  <c r="D1830" i="1"/>
  <c r="A1831" i="1"/>
  <c r="B1831" i="1"/>
  <c r="C1831" i="1"/>
  <c r="D1831" i="1"/>
  <c r="A1832" i="1"/>
  <c r="B1832" i="1"/>
  <c r="C1832" i="1"/>
  <c r="D1832" i="1"/>
  <c r="A1833" i="1"/>
  <c r="B1833" i="1"/>
  <c r="C1833" i="1"/>
  <c r="D1833" i="1"/>
  <c r="A1834" i="1"/>
  <c r="B1834" i="1"/>
  <c r="C1834" i="1"/>
  <c r="D1834" i="1"/>
  <c r="A1835" i="1"/>
  <c r="B1835" i="1"/>
  <c r="C1835" i="1"/>
  <c r="D1835" i="1"/>
  <c r="A1836" i="1"/>
  <c r="B1836" i="1"/>
  <c r="C1836" i="1"/>
  <c r="D1836" i="1"/>
  <c r="A1837" i="1"/>
  <c r="B1837" i="1"/>
  <c r="C1837" i="1"/>
  <c r="D1837" i="1"/>
  <c r="A1838" i="1"/>
  <c r="B1838" i="1"/>
  <c r="C1838" i="1"/>
  <c r="D1838" i="1"/>
  <c r="A1839" i="1"/>
  <c r="B1839" i="1"/>
  <c r="C1839" i="1"/>
  <c r="D1839" i="1"/>
  <c r="A1840" i="1"/>
  <c r="B1840" i="1"/>
  <c r="C1840" i="1"/>
  <c r="D1840" i="1"/>
  <c r="A1841" i="1"/>
  <c r="B1841" i="1"/>
  <c r="C1841" i="1"/>
  <c r="D1841" i="1"/>
  <c r="A1842" i="1"/>
  <c r="B1842" i="1"/>
  <c r="C1842" i="1"/>
  <c r="D1842" i="1"/>
  <c r="A1843" i="1"/>
  <c r="B1843" i="1"/>
  <c r="C1843" i="1"/>
  <c r="D1843" i="1"/>
  <c r="A1844" i="1"/>
  <c r="B1844" i="1"/>
  <c r="C1844" i="1"/>
  <c r="D1844" i="1"/>
  <c r="A1845" i="1"/>
  <c r="B1845" i="1"/>
  <c r="C1845" i="1"/>
  <c r="D1845" i="1"/>
  <c r="A1846" i="1"/>
  <c r="B1846" i="1"/>
  <c r="C1846" i="1"/>
  <c r="D1846" i="1"/>
  <c r="A1847" i="1"/>
  <c r="B1847" i="1"/>
  <c r="C1847" i="1"/>
  <c r="D1847" i="1"/>
  <c r="A1848" i="1"/>
  <c r="B1848" i="1"/>
  <c r="C1848" i="1"/>
  <c r="D1848" i="1"/>
  <c r="A1849" i="1"/>
  <c r="B1849" i="1"/>
  <c r="C1849" i="1"/>
  <c r="D1849" i="1"/>
  <c r="A1850" i="1"/>
  <c r="B1850" i="1"/>
  <c r="C1850" i="1"/>
  <c r="D1850" i="1"/>
  <c r="A1851" i="1"/>
  <c r="B1851" i="1"/>
  <c r="C1851" i="1"/>
  <c r="D1851" i="1"/>
  <c r="A1852" i="1"/>
  <c r="B1852" i="1"/>
  <c r="C1852" i="1"/>
  <c r="D1852" i="1"/>
  <c r="A1853" i="1"/>
  <c r="B1853" i="1"/>
  <c r="C1853" i="1"/>
  <c r="D1853" i="1"/>
  <c r="A1854" i="1"/>
  <c r="B1854" i="1"/>
  <c r="C1854" i="1"/>
  <c r="D1854" i="1"/>
  <c r="A1855" i="1"/>
  <c r="B1855" i="1"/>
  <c r="C1855" i="1"/>
  <c r="D1855" i="1"/>
  <c r="A1856" i="1"/>
  <c r="B1856" i="1"/>
  <c r="C1856" i="1"/>
  <c r="D1856" i="1"/>
  <c r="A1857" i="1"/>
  <c r="B1857" i="1"/>
  <c r="C1857" i="1"/>
  <c r="D1857" i="1"/>
  <c r="A1858" i="1"/>
  <c r="B1858" i="1"/>
  <c r="C1858" i="1"/>
  <c r="D1858" i="1"/>
  <c r="A1859" i="1"/>
  <c r="B1859" i="1"/>
  <c r="C1859" i="1"/>
  <c r="D1859" i="1"/>
  <c r="A1860" i="1"/>
  <c r="B1860" i="1"/>
  <c r="C1860" i="1"/>
  <c r="D1860" i="1"/>
  <c r="A1861" i="1"/>
  <c r="B1861" i="1"/>
  <c r="C1861" i="1"/>
  <c r="D1861" i="1"/>
  <c r="A1862" i="1"/>
  <c r="B1862" i="1"/>
  <c r="C1862" i="1"/>
  <c r="D1862" i="1"/>
  <c r="A1863" i="1"/>
  <c r="B1863" i="1"/>
  <c r="C1863" i="1"/>
  <c r="D1863" i="1"/>
  <c r="A1864" i="1"/>
  <c r="B1864" i="1"/>
  <c r="C1864" i="1"/>
  <c r="D1864" i="1"/>
  <c r="A1865" i="1"/>
  <c r="B1865" i="1"/>
  <c r="C1865" i="1"/>
  <c r="D1865" i="1"/>
  <c r="A1866" i="1"/>
  <c r="B1866" i="1"/>
  <c r="C1866" i="1"/>
  <c r="D1866" i="1"/>
  <c r="A1867" i="1"/>
  <c r="B1867" i="1"/>
  <c r="C1867" i="1"/>
  <c r="D1867" i="1"/>
  <c r="A1868" i="1"/>
  <c r="B1868" i="1"/>
  <c r="C1868" i="1"/>
  <c r="D1868" i="1"/>
  <c r="A1869" i="1"/>
  <c r="B1869" i="1"/>
  <c r="C1869" i="1"/>
  <c r="D1869" i="1"/>
  <c r="A1870" i="1"/>
  <c r="B1870" i="1"/>
  <c r="C1870" i="1"/>
  <c r="D1870" i="1"/>
  <c r="A1871" i="1"/>
  <c r="B1871" i="1"/>
  <c r="C1871" i="1"/>
  <c r="D1871" i="1"/>
  <c r="A1872" i="1"/>
  <c r="B1872" i="1"/>
  <c r="C1872" i="1"/>
  <c r="D1872" i="1"/>
  <c r="A1873" i="1"/>
  <c r="B1873" i="1"/>
  <c r="C1873" i="1"/>
  <c r="D1873" i="1"/>
  <c r="A1874" i="1"/>
  <c r="B1874" i="1"/>
  <c r="C1874" i="1"/>
  <c r="D1874" i="1"/>
  <c r="A1875" i="1"/>
  <c r="B1875" i="1"/>
  <c r="C1875" i="1"/>
  <c r="D1875" i="1"/>
  <c r="A1876" i="1"/>
  <c r="B1876" i="1"/>
  <c r="C1876" i="1"/>
  <c r="D1876" i="1"/>
  <c r="A1877" i="1"/>
  <c r="B1877" i="1"/>
  <c r="C1877" i="1"/>
  <c r="D1877" i="1"/>
  <c r="A1878" i="1"/>
  <c r="B1878" i="1"/>
  <c r="C1878" i="1"/>
  <c r="D1878" i="1"/>
  <c r="A1879" i="1"/>
  <c r="B1879" i="1"/>
  <c r="C1879" i="1"/>
  <c r="D1879" i="1"/>
  <c r="A1880" i="1"/>
  <c r="B1880" i="1"/>
  <c r="C1880" i="1"/>
  <c r="D1880" i="1"/>
  <c r="A1881" i="1"/>
  <c r="B1881" i="1"/>
  <c r="C1881" i="1"/>
  <c r="D1881" i="1"/>
  <c r="A1882" i="1"/>
  <c r="B1882" i="1"/>
  <c r="C1882" i="1"/>
  <c r="D1882" i="1"/>
  <c r="A1883" i="1"/>
  <c r="B1883" i="1"/>
  <c r="C1883" i="1"/>
  <c r="D1883" i="1"/>
  <c r="A1884" i="1"/>
  <c r="B1884" i="1"/>
  <c r="C1884" i="1"/>
  <c r="D1884" i="1"/>
  <c r="A1885" i="1"/>
  <c r="B1885" i="1"/>
  <c r="C1885" i="1"/>
  <c r="D1885" i="1"/>
  <c r="A1886" i="1"/>
  <c r="B1886" i="1"/>
  <c r="C1886" i="1"/>
  <c r="D1886" i="1"/>
  <c r="A1887" i="1"/>
  <c r="B1887" i="1"/>
  <c r="C1887" i="1"/>
  <c r="D1887" i="1"/>
  <c r="A1888" i="1"/>
  <c r="B1888" i="1"/>
  <c r="C1888" i="1"/>
  <c r="D1888" i="1"/>
  <c r="A1889" i="1"/>
  <c r="B1889" i="1"/>
  <c r="C1889" i="1"/>
  <c r="D1889" i="1"/>
  <c r="A1890" i="1"/>
  <c r="B1890" i="1"/>
  <c r="C1890" i="1"/>
  <c r="D1890" i="1"/>
  <c r="A1891" i="1"/>
  <c r="B1891" i="1"/>
  <c r="C1891" i="1"/>
  <c r="D1891" i="1"/>
  <c r="A1892" i="1"/>
  <c r="B1892" i="1"/>
  <c r="C1892" i="1"/>
  <c r="D1892" i="1"/>
  <c r="A1893" i="1"/>
  <c r="B1893" i="1"/>
  <c r="C1893" i="1"/>
  <c r="D1893" i="1"/>
  <c r="A1894" i="1"/>
  <c r="B1894" i="1"/>
  <c r="C1894" i="1"/>
  <c r="D1894" i="1"/>
  <c r="A1895" i="1"/>
  <c r="B1895" i="1"/>
  <c r="C1895" i="1"/>
  <c r="D1895" i="1"/>
  <c r="A1896" i="1"/>
  <c r="B1896" i="1"/>
  <c r="C1896" i="1"/>
  <c r="D1896" i="1"/>
  <c r="A1897" i="1"/>
  <c r="B1897" i="1"/>
  <c r="C1897" i="1"/>
  <c r="D1897" i="1"/>
  <c r="A1898" i="1"/>
  <c r="B1898" i="1"/>
  <c r="C1898" i="1"/>
  <c r="D1898" i="1"/>
  <c r="A1899" i="1"/>
  <c r="B1899" i="1"/>
  <c r="C1899" i="1"/>
  <c r="D1899" i="1"/>
  <c r="A1900" i="1"/>
  <c r="B1900" i="1"/>
  <c r="C1900" i="1"/>
  <c r="D1900" i="1"/>
  <c r="A1901" i="1"/>
  <c r="B1901" i="1"/>
  <c r="C1901" i="1"/>
  <c r="D1901" i="1"/>
  <c r="A1902" i="1"/>
  <c r="B1902" i="1"/>
  <c r="C1902" i="1"/>
  <c r="D1902" i="1"/>
  <c r="A1903" i="1"/>
  <c r="B1903" i="1"/>
  <c r="C1903" i="1"/>
  <c r="D1903" i="1"/>
  <c r="A1904" i="1"/>
  <c r="B1904" i="1"/>
  <c r="C1904" i="1"/>
  <c r="D1904" i="1"/>
  <c r="A1905" i="1"/>
  <c r="B1905" i="1"/>
  <c r="C1905" i="1"/>
  <c r="D1905" i="1"/>
  <c r="A1906" i="1"/>
  <c r="B1906" i="1"/>
  <c r="C1906" i="1"/>
  <c r="D1906" i="1"/>
  <c r="A1907" i="1"/>
  <c r="B1907" i="1"/>
  <c r="C1907" i="1"/>
  <c r="D1907" i="1"/>
  <c r="A1908" i="1"/>
  <c r="B1908" i="1"/>
  <c r="C1908" i="1"/>
  <c r="D1908" i="1"/>
  <c r="A1909" i="1"/>
  <c r="B1909" i="1"/>
  <c r="C1909" i="1"/>
  <c r="D1909" i="1"/>
  <c r="A1910" i="1"/>
  <c r="B1910" i="1"/>
  <c r="C1910" i="1"/>
  <c r="D1910" i="1"/>
  <c r="A1911" i="1"/>
  <c r="B1911" i="1"/>
  <c r="C1911" i="1"/>
  <c r="D1911" i="1"/>
  <c r="A1912" i="1"/>
  <c r="B1912" i="1"/>
  <c r="C1912" i="1"/>
  <c r="D1912" i="1"/>
  <c r="A1913" i="1"/>
  <c r="B1913" i="1"/>
  <c r="C1913" i="1"/>
  <c r="D1913" i="1"/>
  <c r="A1914" i="1"/>
  <c r="B1914" i="1"/>
  <c r="C1914" i="1"/>
  <c r="D1914" i="1"/>
  <c r="A1915" i="1"/>
  <c r="B1915" i="1"/>
  <c r="C1915" i="1"/>
  <c r="D1915" i="1"/>
  <c r="A1916" i="1"/>
  <c r="B1916" i="1"/>
  <c r="C1916" i="1"/>
  <c r="D1916" i="1"/>
  <c r="A1917" i="1"/>
  <c r="B1917" i="1"/>
  <c r="C1917" i="1"/>
  <c r="D1917" i="1"/>
  <c r="A1918" i="1"/>
  <c r="B1918" i="1"/>
  <c r="C1918" i="1"/>
  <c r="D1918" i="1"/>
  <c r="A1919" i="1"/>
  <c r="B1919" i="1"/>
  <c r="C1919" i="1"/>
  <c r="D1919" i="1"/>
  <c r="A1920" i="1"/>
  <c r="B1920" i="1"/>
  <c r="C1920" i="1"/>
  <c r="D1920" i="1"/>
  <c r="A1921" i="1"/>
  <c r="B1921" i="1"/>
  <c r="C1921" i="1"/>
  <c r="D1921" i="1"/>
  <c r="A1922" i="1"/>
  <c r="B1922" i="1"/>
  <c r="C1922" i="1"/>
  <c r="D1922" i="1"/>
  <c r="A1923" i="1"/>
  <c r="B1923" i="1"/>
  <c r="C1923" i="1"/>
  <c r="D1923" i="1"/>
  <c r="A1924" i="1"/>
  <c r="B1924" i="1"/>
  <c r="C1924" i="1"/>
  <c r="D1924" i="1"/>
  <c r="A1925" i="1"/>
  <c r="B1925" i="1"/>
  <c r="C1925" i="1"/>
  <c r="D1925" i="1"/>
  <c r="A1926" i="1"/>
  <c r="B1926" i="1"/>
  <c r="C1926" i="1"/>
  <c r="D1926" i="1"/>
  <c r="A1927" i="1"/>
  <c r="B1927" i="1"/>
  <c r="C1927" i="1"/>
  <c r="D1927" i="1"/>
  <c r="A1928" i="1"/>
  <c r="B1928" i="1"/>
  <c r="C1928" i="1"/>
  <c r="D1928" i="1"/>
  <c r="A1929" i="1"/>
  <c r="B1929" i="1"/>
  <c r="C1929" i="1"/>
  <c r="D1929" i="1"/>
  <c r="A1930" i="1"/>
  <c r="B1930" i="1"/>
  <c r="C1930" i="1"/>
  <c r="D1930" i="1"/>
  <c r="A1931" i="1"/>
  <c r="B1931" i="1"/>
  <c r="C1931" i="1"/>
  <c r="D1931" i="1"/>
  <c r="A1932" i="1"/>
  <c r="B1932" i="1"/>
  <c r="C1932" i="1"/>
  <c r="D1932" i="1"/>
  <c r="A1933" i="1"/>
  <c r="B1933" i="1"/>
  <c r="C1933" i="1"/>
  <c r="D1933" i="1"/>
  <c r="A1934" i="1"/>
  <c r="B1934" i="1"/>
  <c r="C1934" i="1"/>
  <c r="D1934" i="1"/>
  <c r="A1935" i="1"/>
  <c r="B1935" i="1"/>
  <c r="C1935" i="1"/>
  <c r="D1935" i="1"/>
  <c r="A1936" i="1"/>
  <c r="B1936" i="1"/>
  <c r="C1936" i="1"/>
  <c r="D1936" i="1"/>
  <c r="A1937" i="1"/>
  <c r="B1937" i="1"/>
  <c r="C1937" i="1"/>
  <c r="D1937" i="1"/>
  <c r="A1938" i="1"/>
  <c r="B1938" i="1"/>
  <c r="C1938" i="1"/>
  <c r="D1938" i="1"/>
  <c r="A1939" i="1"/>
  <c r="B1939" i="1"/>
  <c r="C1939" i="1"/>
  <c r="D1939" i="1"/>
  <c r="A1940" i="1"/>
  <c r="B1940" i="1"/>
  <c r="C1940" i="1"/>
  <c r="D1940" i="1"/>
  <c r="A1941" i="1"/>
  <c r="B1941" i="1"/>
  <c r="C1941" i="1"/>
  <c r="D1941" i="1"/>
  <c r="A1942" i="1"/>
  <c r="B1942" i="1"/>
  <c r="C1942" i="1"/>
  <c r="D1942" i="1"/>
  <c r="A1943" i="1"/>
  <c r="B1943" i="1"/>
  <c r="C1943" i="1"/>
  <c r="D1943" i="1"/>
  <c r="A1944" i="1"/>
  <c r="B1944" i="1"/>
  <c r="C1944" i="1"/>
  <c r="D1944" i="1"/>
  <c r="A1945" i="1"/>
  <c r="B1945" i="1"/>
  <c r="C1945" i="1"/>
  <c r="D1945" i="1"/>
  <c r="A1946" i="1"/>
  <c r="B1946" i="1"/>
  <c r="C1946" i="1"/>
  <c r="D1946" i="1"/>
  <c r="A1947" i="1"/>
  <c r="B1947" i="1"/>
  <c r="C1947" i="1"/>
  <c r="D1947" i="1"/>
  <c r="A1948" i="1"/>
  <c r="B1948" i="1"/>
  <c r="C1948" i="1"/>
  <c r="D1948" i="1"/>
  <c r="A1949" i="1"/>
  <c r="B1949" i="1"/>
  <c r="C1949" i="1"/>
  <c r="D1949" i="1"/>
  <c r="A1950" i="1"/>
  <c r="B1950" i="1"/>
  <c r="C1950" i="1"/>
  <c r="D1950" i="1"/>
  <c r="A1951" i="1"/>
  <c r="B1951" i="1"/>
  <c r="C1951" i="1"/>
  <c r="D1951" i="1"/>
  <c r="A1952" i="1"/>
  <c r="B1952" i="1"/>
  <c r="C1952" i="1"/>
  <c r="D1952" i="1"/>
  <c r="A1953" i="1"/>
  <c r="B1953" i="1"/>
  <c r="C1953" i="1"/>
  <c r="D1953" i="1"/>
  <c r="A1954" i="1"/>
  <c r="B1954" i="1"/>
  <c r="C1954" i="1"/>
  <c r="D1954" i="1"/>
  <c r="A1955" i="1"/>
  <c r="B1955" i="1"/>
  <c r="C1955" i="1"/>
  <c r="D1955" i="1"/>
  <c r="A1956" i="1"/>
  <c r="B1956" i="1"/>
  <c r="C1956" i="1"/>
  <c r="D1956" i="1"/>
  <c r="A1957" i="1"/>
  <c r="B1957" i="1"/>
  <c r="C1957" i="1"/>
  <c r="D1957" i="1"/>
  <c r="A1958" i="1"/>
  <c r="B1958" i="1"/>
  <c r="C1958" i="1"/>
  <c r="D1958" i="1"/>
  <c r="A1959" i="1"/>
  <c r="B1959" i="1"/>
  <c r="C1959" i="1"/>
  <c r="D1959" i="1"/>
  <c r="A1960" i="1"/>
  <c r="B1960" i="1"/>
  <c r="C1960" i="1"/>
  <c r="D1960" i="1"/>
  <c r="A1961" i="1"/>
  <c r="B1961" i="1"/>
  <c r="C1961" i="1"/>
  <c r="D1961" i="1"/>
  <c r="A1962" i="1"/>
  <c r="B1962" i="1"/>
  <c r="C1962" i="1"/>
  <c r="D1962" i="1"/>
  <c r="A1963" i="1"/>
  <c r="B1963" i="1"/>
  <c r="C1963" i="1"/>
  <c r="D1963" i="1"/>
  <c r="A1964" i="1"/>
  <c r="B1964" i="1"/>
  <c r="C1964" i="1"/>
  <c r="D1964" i="1"/>
  <c r="A1965" i="1"/>
  <c r="B1965" i="1"/>
  <c r="C1965" i="1"/>
  <c r="D1965" i="1"/>
  <c r="A1966" i="1"/>
  <c r="B1966" i="1"/>
  <c r="C1966" i="1"/>
  <c r="D1966" i="1"/>
  <c r="A1967" i="1"/>
  <c r="B1967" i="1"/>
  <c r="C1967" i="1"/>
  <c r="D1967" i="1"/>
  <c r="A1968" i="1"/>
  <c r="B1968" i="1"/>
  <c r="C1968" i="1"/>
  <c r="D1968" i="1"/>
  <c r="A1969" i="1"/>
  <c r="B1969" i="1"/>
  <c r="C1969" i="1"/>
  <c r="D1969" i="1"/>
  <c r="A1970" i="1"/>
  <c r="B1970" i="1"/>
  <c r="C1970" i="1"/>
  <c r="D1970" i="1"/>
  <c r="A1971" i="1"/>
  <c r="B1971" i="1"/>
  <c r="C1971" i="1"/>
  <c r="D1971" i="1"/>
  <c r="A1972" i="1"/>
  <c r="B1972" i="1"/>
  <c r="C1972" i="1"/>
  <c r="D1972" i="1"/>
  <c r="A1973" i="1"/>
  <c r="B1973" i="1"/>
  <c r="C1973" i="1"/>
  <c r="D1973" i="1"/>
  <c r="A1974" i="1"/>
  <c r="B1974" i="1"/>
  <c r="C1974" i="1"/>
  <c r="D1974" i="1"/>
  <c r="A1975" i="1"/>
  <c r="B1975" i="1"/>
  <c r="C1975" i="1"/>
  <c r="D1975" i="1"/>
  <c r="A1976" i="1"/>
  <c r="B1976" i="1"/>
  <c r="C1976" i="1"/>
  <c r="D1976" i="1"/>
  <c r="A1977" i="1"/>
  <c r="B1977" i="1"/>
  <c r="C1977" i="1"/>
  <c r="D1977" i="1"/>
  <c r="A1978" i="1"/>
  <c r="B1978" i="1"/>
  <c r="C1978" i="1"/>
  <c r="D1978" i="1"/>
  <c r="A1979" i="1"/>
  <c r="B1979" i="1"/>
  <c r="C1979" i="1"/>
  <c r="D1979" i="1"/>
  <c r="A1980" i="1"/>
  <c r="B1980" i="1"/>
  <c r="C1980" i="1"/>
  <c r="D1980" i="1"/>
  <c r="A1981" i="1"/>
  <c r="B1981" i="1"/>
  <c r="C1981" i="1"/>
  <c r="D1981" i="1"/>
  <c r="A1982" i="1"/>
  <c r="B1982" i="1"/>
  <c r="C1982" i="1"/>
  <c r="D1982" i="1"/>
  <c r="A1983" i="1"/>
  <c r="B1983" i="1"/>
  <c r="C1983" i="1"/>
  <c r="D1983" i="1"/>
  <c r="A1984" i="1"/>
  <c r="B1984" i="1"/>
  <c r="C1984" i="1"/>
  <c r="D1984" i="1"/>
  <c r="A1985" i="1"/>
  <c r="B1985" i="1"/>
  <c r="C1985" i="1"/>
  <c r="D1985" i="1"/>
  <c r="A1986" i="1"/>
  <c r="B1986" i="1"/>
  <c r="C1986" i="1"/>
  <c r="D1986" i="1"/>
  <c r="A1987" i="1"/>
  <c r="B1987" i="1"/>
  <c r="C1987" i="1"/>
  <c r="D1987" i="1"/>
  <c r="A1988" i="1"/>
  <c r="B1988" i="1"/>
  <c r="C1988" i="1"/>
  <c r="D1988" i="1"/>
  <c r="A1989" i="1"/>
  <c r="B1989" i="1"/>
  <c r="C1989" i="1"/>
  <c r="D1989" i="1"/>
  <c r="A1990" i="1"/>
  <c r="B1990" i="1"/>
  <c r="C1990" i="1"/>
  <c r="D1990" i="1"/>
  <c r="A1991" i="1"/>
  <c r="B1991" i="1"/>
  <c r="C1991" i="1"/>
  <c r="D1991" i="1"/>
  <c r="A1992" i="1"/>
  <c r="B1992" i="1"/>
  <c r="C1992" i="1"/>
  <c r="D1992" i="1"/>
  <c r="A1993" i="1"/>
  <c r="B1993" i="1"/>
  <c r="C1993" i="1"/>
  <c r="D1993" i="1"/>
  <c r="A1994" i="1"/>
  <c r="B1994" i="1"/>
  <c r="C1994" i="1"/>
  <c r="D1994" i="1"/>
  <c r="A1995" i="1"/>
  <c r="B1995" i="1"/>
  <c r="C1995" i="1"/>
  <c r="D1995" i="1"/>
  <c r="A1996" i="1"/>
  <c r="B1996" i="1"/>
  <c r="C1996" i="1"/>
  <c r="D1996" i="1"/>
  <c r="A1997" i="1"/>
  <c r="B1997" i="1"/>
  <c r="C1997" i="1"/>
  <c r="D1997" i="1"/>
  <c r="A1998" i="1"/>
  <c r="B1998" i="1"/>
  <c r="C1998" i="1"/>
  <c r="D1998" i="1"/>
  <c r="A1999" i="1"/>
  <c r="B1999" i="1"/>
  <c r="C1999" i="1"/>
  <c r="D1999" i="1"/>
  <c r="A2000" i="1"/>
  <c r="B2000" i="1"/>
  <c r="C2000" i="1"/>
  <c r="D2000" i="1"/>
  <c r="A2001" i="1"/>
  <c r="B2001" i="1"/>
  <c r="C2001" i="1"/>
  <c r="D2001" i="1"/>
  <c r="A2002" i="1"/>
  <c r="B2002" i="1"/>
  <c r="C2002" i="1"/>
  <c r="D2002" i="1"/>
  <c r="A2003" i="1"/>
  <c r="B2003" i="1"/>
  <c r="C2003" i="1"/>
  <c r="D2003" i="1"/>
  <c r="A2004" i="1"/>
  <c r="B2004" i="1"/>
  <c r="C2004" i="1"/>
  <c r="D2004" i="1"/>
  <c r="A2005" i="1"/>
  <c r="B2005" i="1"/>
  <c r="C2005" i="1"/>
  <c r="D2005" i="1"/>
  <c r="A2006" i="1"/>
  <c r="B2006" i="1"/>
  <c r="C2006" i="1"/>
  <c r="D2006" i="1"/>
  <c r="A2007" i="1"/>
  <c r="B2007" i="1"/>
  <c r="C2007" i="1"/>
  <c r="D2007" i="1"/>
  <c r="A2008" i="1"/>
  <c r="B2008" i="1"/>
  <c r="C2008" i="1"/>
  <c r="D2008" i="1"/>
  <c r="A2009" i="1"/>
  <c r="B2009" i="1"/>
  <c r="C2009" i="1"/>
  <c r="D2009" i="1"/>
  <c r="A2010" i="1"/>
  <c r="B2010" i="1"/>
  <c r="C2010" i="1"/>
  <c r="D2010" i="1"/>
  <c r="A2011" i="1"/>
  <c r="B2011" i="1"/>
  <c r="C2011" i="1"/>
  <c r="D2011" i="1"/>
  <c r="A2012" i="1"/>
  <c r="B2012" i="1"/>
  <c r="C2012" i="1"/>
  <c r="D2012" i="1"/>
  <c r="A2013" i="1"/>
  <c r="B2013" i="1"/>
  <c r="C2013" i="1"/>
  <c r="D2013" i="1"/>
  <c r="A2014" i="1"/>
  <c r="B2014" i="1"/>
  <c r="C2014" i="1"/>
  <c r="D2014" i="1"/>
  <c r="A2015" i="1"/>
  <c r="B2015" i="1"/>
  <c r="C2015" i="1"/>
  <c r="D2015" i="1"/>
  <c r="A2016" i="1"/>
  <c r="B2016" i="1"/>
  <c r="C2016" i="1"/>
  <c r="D2016" i="1"/>
  <c r="A2017" i="1"/>
  <c r="B2017" i="1"/>
  <c r="C2017" i="1"/>
  <c r="D2017" i="1"/>
  <c r="A2018" i="1"/>
  <c r="B2018" i="1"/>
  <c r="C2018" i="1"/>
  <c r="D2018" i="1"/>
  <c r="A2019" i="1"/>
  <c r="B2019" i="1"/>
  <c r="C2019" i="1"/>
  <c r="D2019" i="1"/>
  <c r="A2020" i="1"/>
  <c r="B2020" i="1"/>
  <c r="C2020" i="1"/>
  <c r="D2020" i="1"/>
  <c r="A2021" i="1"/>
  <c r="B2021" i="1"/>
  <c r="C2021" i="1"/>
  <c r="D2021" i="1"/>
  <c r="A2022" i="1"/>
  <c r="B2022" i="1"/>
  <c r="C2022" i="1"/>
  <c r="D2022" i="1"/>
  <c r="A2023" i="1"/>
  <c r="B2023" i="1"/>
  <c r="C2023" i="1"/>
  <c r="D2023" i="1"/>
  <c r="A2024" i="1"/>
  <c r="B2024" i="1"/>
  <c r="C2024" i="1"/>
  <c r="D2024" i="1"/>
  <c r="A2025" i="1"/>
  <c r="B2025" i="1"/>
  <c r="C2025" i="1"/>
  <c r="D2025" i="1"/>
  <c r="A2026" i="1"/>
  <c r="B2026" i="1"/>
  <c r="C2026" i="1"/>
  <c r="D2026" i="1"/>
  <c r="A2027" i="1"/>
  <c r="B2027" i="1"/>
  <c r="C2027" i="1"/>
  <c r="D2027" i="1"/>
  <c r="A2028" i="1"/>
  <c r="B2028" i="1"/>
  <c r="C2028" i="1"/>
  <c r="D2028" i="1"/>
  <c r="A2029" i="1"/>
  <c r="B2029" i="1"/>
  <c r="C2029" i="1"/>
  <c r="D2029" i="1"/>
  <c r="A2030" i="1"/>
  <c r="B2030" i="1"/>
  <c r="C2030" i="1"/>
  <c r="D2030" i="1"/>
  <c r="A2031" i="1"/>
  <c r="B2031" i="1"/>
  <c r="C2031" i="1"/>
  <c r="D2031" i="1"/>
  <c r="A2032" i="1"/>
  <c r="B2032" i="1"/>
  <c r="C2032" i="1"/>
  <c r="D2032" i="1"/>
  <c r="A2033" i="1"/>
  <c r="B2033" i="1"/>
  <c r="C2033" i="1"/>
  <c r="D2033" i="1"/>
  <c r="A2034" i="1"/>
  <c r="B2034" i="1"/>
  <c r="C2034" i="1"/>
  <c r="D2034" i="1"/>
  <c r="A2035" i="1"/>
  <c r="B2035" i="1"/>
  <c r="C2035" i="1"/>
  <c r="D2035" i="1"/>
  <c r="A2036" i="1"/>
  <c r="B2036" i="1"/>
  <c r="C2036" i="1"/>
  <c r="D2036" i="1"/>
  <c r="A2037" i="1"/>
  <c r="B2037" i="1"/>
  <c r="C2037" i="1"/>
  <c r="D2037" i="1"/>
  <c r="A2038" i="1"/>
  <c r="B2038" i="1"/>
  <c r="C2038" i="1"/>
  <c r="D2038" i="1"/>
  <c r="A2039" i="1"/>
  <c r="B2039" i="1"/>
  <c r="C2039" i="1"/>
  <c r="D2039" i="1"/>
  <c r="A2040" i="1"/>
  <c r="B2040" i="1"/>
  <c r="C2040" i="1"/>
  <c r="D2040" i="1"/>
  <c r="A2041" i="1"/>
  <c r="B2041" i="1"/>
  <c r="C2041" i="1"/>
  <c r="D2041" i="1"/>
  <c r="A2042" i="1"/>
  <c r="B2042" i="1"/>
  <c r="C2042" i="1"/>
  <c r="D2042" i="1"/>
  <c r="A2043" i="1"/>
  <c r="B2043" i="1"/>
  <c r="C2043" i="1"/>
  <c r="D2043" i="1"/>
  <c r="A2044" i="1"/>
  <c r="B2044" i="1"/>
  <c r="C2044" i="1"/>
  <c r="D2044" i="1"/>
  <c r="A2045" i="1"/>
  <c r="B2045" i="1"/>
  <c r="C2045" i="1"/>
  <c r="D2045" i="1"/>
  <c r="A2046" i="1"/>
  <c r="B2046" i="1"/>
  <c r="C2046" i="1"/>
  <c r="D2046" i="1"/>
  <c r="A2047" i="1"/>
  <c r="B2047" i="1"/>
  <c r="C2047" i="1"/>
  <c r="D2047" i="1"/>
  <c r="A2048" i="1"/>
  <c r="B2048" i="1"/>
  <c r="C2048" i="1"/>
  <c r="D2048" i="1"/>
  <c r="A2049" i="1"/>
  <c r="B2049" i="1"/>
  <c r="C2049" i="1"/>
  <c r="D2049" i="1"/>
  <c r="A2050" i="1"/>
  <c r="B2050" i="1"/>
  <c r="C2050" i="1"/>
  <c r="D2050" i="1"/>
  <c r="A2051" i="1"/>
  <c r="B2051" i="1"/>
  <c r="C2051" i="1"/>
  <c r="D2051" i="1"/>
  <c r="A2052" i="1"/>
  <c r="B2052" i="1"/>
  <c r="C2052" i="1"/>
  <c r="D2052" i="1"/>
  <c r="A2053" i="1"/>
  <c r="B2053" i="1"/>
  <c r="C2053" i="1"/>
  <c r="D2053" i="1"/>
  <c r="A2054" i="1"/>
  <c r="B2054" i="1"/>
  <c r="C2054" i="1"/>
  <c r="D2054" i="1"/>
  <c r="A2055" i="1"/>
  <c r="B2055" i="1"/>
  <c r="C2055" i="1"/>
  <c r="D2055" i="1"/>
  <c r="A2056" i="1"/>
  <c r="B2056" i="1"/>
  <c r="C2056" i="1"/>
  <c r="D2056" i="1"/>
  <c r="A2057" i="1"/>
  <c r="B2057" i="1"/>
  <c r="C2057" i="1"/>
  <c r="D2057" i="1"/>
  <c r="A2058" i="1"/>
  <c r="B2058" i="1"/>
  <c r="C2058" i="1"/>
  <c r="D2058" i="1"/>
  <c r="A2059" i="1"/>
  <c r="B2059" i="1"/>
  <c r="C2059" i="1"/>
  <c r="D2059" i="1"/>
  <c r="A2060" i="1"/>
  <c r="B2060" i="1"/>
  <c r="C2060" i="1"/>
  <c r="D2060" i="1"/>
  <c r="A2061" i="1"/>
  <c r="B2061" i="1"/>
  <c r="C2061" i="1"/>
  <c r="D2061" i="1"/>
  <c r="A2062" i="1"/>
  <c r="B2062" i="1"/>
  <c r="C2062" i="1"/>
  <c r="D2062" i="1"/>
  <c r="A2063" i="1"/>
  <c r="B2063" i="1"/>
  <c r="C2063" i="1"/>
  <c r="D2063" i="1"/>
  <c r="A2064" i="1"/>
  <c r="B2064" i="1"/>
  <c r="C2064" i="1"/>
  <c r="D2064" i="1"/>
  <c r="A2065" i="1"/>
  <c r="B2065" i="1"/>
  <c r="C2065" i="1"/>
  <c r="D2065" i="1"/>
  <c r="A2066" i="1"/>
  <c r="B2066" i="1"/>
  <c r="C2066" i="1"/>
  <c r="D2066" i="1"/>
  <c r="A2067" i="1"/>
  <c r="B2067" i="1"/>
  <c r="C2067" i="1"/>
  <c r="D2067" i="1"/>
  <c r="A2068" i="1"/>
  <c r="B2068" i="1"/>
  <c r="C2068" i="1"/>
  <c r="D2068" i="1"/>
  <c r="A2069" i="1"/>
  <c r="B2069" i="1"/>
  <c r="C2069" i="1"/>
  <c r="D2069" i="1"/>
  <c r="A2070" i="1"/>
  <c r="B2070" i="1"/>
  <c r="C2070" i="1"/>
  <c r="D2070" i="1"/>
  <c r="A2071" i="1"/>
  <c r="B2071" i="1"/>
  <c r="C2071" i="1"/>
  <c r="D2071" i="1"/>
  <c r="A2072" i="1"/>
  <c r="B2072" i="1"/>
  <c r="C2072" i="1"/>
  <c r="D2072" i="1"/>
  <c r="A2073" i="1"/>
  <c r="B2073" i="1"/>
  <c r="C2073" i="1"/>
  <c r="D2073" i="1"/>
  <c r="A2074" i="1"/>
  <c r="B2074" i="1"/>
  <c r="C2074" i="1"/>
  <c r="D2074" i="1"/>
  <c r="A2075" i="1"/>
  <c r="B2075" i="1"/>
  <c r="C2075" i="1"/>
  <c r="D2075" i="1"/>
  <c r="A2076" i="1"/>
  <c r="B2076" i="1"/>
  <c r="C2076" i="1"/>
  <c r="D2076" i="1"/>
  <c r="A2077" i="1"/>
  <c r="B2077" i="1"/>
  <c r="C2077" i="1"/>
  <c r="D2077" i="1"/>
  <c r="A2078" i="1"/>
  <c r="B2078" i="1"/>
  <c r="C2078" i="1"/>
  <c r="D2078" i="1"/>
  <c r="A2079" i="1"/>
  <c r="B2079" i="1"/>
  <c r="C2079" i="1"/>
  <c r="D2079" i="1"/>
  <c r="A2080" i="1"/>
  <c r="B2080" i="1"/>
  <c r="C2080" i="1"/>
  <c r="D2080" i="1"/>
  <c r="A2081" i="1"/>
  <c r="B2081" i="1"/>
  <c r="C2081" i="1"/>
  <c r="D2081" i="1"/>
  <c r="A2082" i="1"/>
  <c r="B2082" i="1"/>
  <c r="C2082" i="1"/>
  <c r="D2082" i="1"/>
  <c r="A2083" i="1"/>
  <c r="B2083" i="1"/>
  <c r="C2083" i="1"/>
  <c r="D2083" i="1"/>
  <c r="A2084" i="1"/>
  <c r="B2084" i="1"/>
  <c r="C2084" i="1"/>
  <c r="D2084" i="1"/>
  <c r="A2085" i="1"/>
  <c r="B2085" i="1"/>
  <c r="C2085" i="1"/>
  <c r="D2085" i="1"/>
  <c r="A2086" i="1"/>
  <c r="B2086" i="1"/>
  <c r="C2086" i="1"/>
  <c r="D2086" i="1"/>
  <c r="A2087" i="1"/>
  <c r="B2087" i="1"/>
  <c r="C2087" i="1"/>
  <c r="D2087" i="1"/>
  <c r="A2088" i="1"/>
  <c r="B2088" i="1"/>
  <c r="C2088" i="1"/>
  <c r="D2088" i="1"/>
  <c r="A2089" i="1"/>
  <c r="B2089" i="1"/>
  <c r="C2089" i="1"/>
  <c r="D2089" i="1"/>
  <c r="A2090" i="1"/>
  <c r="B2090" i="1"/>
  <c r="C2090" i="1"/>
  <c r="D2090" i="1"/>
  <c r="A2091" i="1"/>
  <c r="B2091" i="1"/>
  <c r="C2091" i="1"/>
  <c r="D2091" i="1"/>
  <c r="A2092" i="1"/>
  <c r="B2092" i="1"/>
  <c r="C2092" i="1"/>
  <c r="D2092" i="1"/>
  <c r="A2093" i="1"/>
  <c r="B2093" i="1"/>
  <c r="C2093" i="1"/>
  <c r="D2093" i="1"/>
  <c r="A2094" i="1"/>
  <c r="B2094" i="1"/>
  <c r="C2094" i="1"/>
  <c r="D2094" i="1"/>
  <c r="A2095" i="1"/>
  <c r="B2095" i="1"/>
  <c r="C2095" i="1"/>
  <c r="D2095" i="1"/>
  <c r="A2096" i="1"/>
  <c r="B2096" i="1"/>
  <c r="C2096" i="1"/>
  <c r="D2096" i="1"/>
  <c r="A2097" i="1"/>
  <c r="B2097" i="1"/>
  <c r="C2097" i="1"/>
  <c r="D2097" i="1"/>
  <c r="A2098" i="1"/>
  <c r="B2098" i="1"/>
  <c r="C2098" i="1"/>
  <c r="D2098" i="1"/>
  <c r="A2099" i="1"/>
  <c r="B2099" i="1"/>
  <c r="C2099" i="1"/>
  <c r="D2099" i="1"/>
  <c r="A2100" i="1"/>
  <c r="B2100" i="1"/>
  <c r="C2100" i="1"/>
  <c r="D2100" i="1"/>
  <c r="A2101" i="1"/>
  <c r="B2101" i="1"/>
  <c r="C2101" i="1"/>
  <c r="D2101" i="1"/>
  <c r="A2102" i="1"/>
  <c r="B2102" i="1"/>
  <c r="C2102" i="1"/>
  <c r="D2102" i="1"/>
  <c r="A2103" i="1"/>
  <c r="B2103" i="1"/>
  <c r="C2103" i="1"/>
  <c r="D2103" i="1"/>
  <c r="A2104" i="1"/>
  <c r="B2104" i="1"/>
  <c r="C2104" i="1"/>
  <c r="D2104" i="1"/>
  <c r="A2105" i="1"/>
  <c r="B2105" i="1"/>
  <c r="C2105" i="1"/>
  <c r="D2105" i="1"/>
  <c r="A2106" i="1"/>
  <c r="B2106" i="1"/>
  <c r="C2106" i="1"/>
  <c r="D2106" i="1"/>
  <c r="A2107" i="1"/>
  <c r="B2107" i="1"/>
  <c r="C2107" i="1"/>
  <c r="D2107" i="1"/>
  <c r="A2108" i="1"/>
  <c r="B2108" i="1"/>
  <c r="C2108" i="1"/>
  <c r="D2108" i="1"/>
  <c r="A2109" i="1"/>
  <c r="B2109" i="1"/>
  <c r="C2109" i="1"/>
  <c r="D2109" i="1"/>
  <c r="A2110" i="1"/>
  <c r="B2110" i="1"/>
  <c r="C2110" i="1"/>
  <c r="D2110" i="1"/>
  <c r="A2111" i="1"/>
  <c r="B2111" i="1"/>
  <c r="C2111" i="1"/>
  <c r="D2111" i="1"/>
  <c r="A2112" i="1"/>
  <c r="B2112" i="1"/>
  <c r="C2112" i="1"/>
  <c r="D2112" i="1"/>
  <c r="A2113" i="1"/>
  <c r="B2113" i="1"/>
  <c r="C2113" i="1"/>
  <c r="D2113" i="1"/>
  <c r="A2114" i="1"/>
  <c r="B2114" i="1"/>
  <c r="C2114" i="1"/>
  <c r="D2114" i="1"/>
  <c r="A2115" i="1"/>
  <c r="B2115" i="1"/>
  <c r="C2115" i="1"/>
  <c r="D2115" i="1"/>
  <c r="A2116" i="1"/>
  <c r="B2116" i="1"/>
  <c r="C2116" i="1"/>
  <c r="D2116" i="1"/>
  <c r="A2117" i="1"/>
  <c r="B2117" i="1"/>
  <c r="C2117" i="1"/>
  <c r="D2117" i="1"/>
  <c r="A2118" i="1"/>
  <c r="B2118" i="1"/>
  <c r="C2118" i="1"/>
  <c r="D2118" i="1"/>
  <c r="A2119" i="1"/>
  <c r="B2119" i="1"/>
  <c r="C2119" i="1"/>
  <c r="D2119" i="1"/>
  <c r="A2120" i="1"/>
  <c r="B2120" i="1"/>
  <c r="C2120" i="1"/>
  <c r="D2120" i="1"/>
  <c r="A2121" i="1"/>
  <c r="B2121" i="1"/>
  <c r="C2121" i="1"/>
  <c r="D2121" i="1"/>
  <c r="A2122" i="1"/>
  <c r="B2122" i="1"/>
  <c r="C2122" i="1"/>
  <c r="D2122" i="1"/>
  <c r="A2123" i="1"/>
  <c r="B2123" i="1"/>
  <c r="C2123" i="1"/>
  <c r="D2123" i="1"/>
  <c r="A2124" i="1"/>
  <c r="B2124" i="1"/>
  <c r="C2124" i="1"/>
  <c r="D2124" i="1"/>
  <c r="A2125" i="1"/>
  <c r="B2125" i="1"/>
  <c r="C2125" i="1"/>
  <c r="D2125" i="1"/>
  <c r="A2126" i="1"/>
  <c r="B2126" i="1"/>
  <c r="C2126" i="1"/>
  <c r="D2126" i="1"/>
  <c r="A2127" i="1"/>
  <c r="B2127" i="1"/>
  <c r="C2127" i="1"/>
  <c r="D2127" i="1"/>
  <c r="A2128" i="1"/>
  <c r="B2128" i="1"/>
  <c r="C2128" i="1"/>
  <c r="D2128" i="1"/>
  <c r="A2129" i="1"/>
  <c r="B2129" i="1"/>
  <c r="C2129" i="1"/>
  <c r="D2129" i="1"/>
  <c r="A2130" i="1"/>
  <c r="B2130" i="1"/>
  <c r="C2130" i="1"/>
  <c r="D2130" i="1"/>
  <c r="A2131" i="1"/>
  <c r="B2131" i="1"/>
  <c r="C2131" i="1"/>
  <c r="D2131" i="1"/>
  <c r="A2132" i="1"/>
  <c r="B2132" i="1"/>
  <c r="C2132" i="1"/>
  <c r="D2132" i="1"/>
  <c r="A2133" i="1"/>
  <c r="B2133" i="1"/>
  <c r="C2133" i="1"/>
  <c r="D2133" i="1"/>
  <c r="A2134" i="1"/>
  <c r="B2134" i="1"/>
  <c r="C2134" i="1"/>
  <c r="D2134" i="1"/>
  <c r="A2135" i="1"/>
  <c r="B2135" i="1"/>
  <c r="C2135" i="1"/>
  <c r="D2135" i="1"/>
  <c r="A2136" i="1"/>
  <c r="B2136" i="1"/>
  <c r="C2136" i="1"/>
  <c r="D2136" i="1"/>
  <c r="A2137" i="1"/>
  <c r="B2137" i="1"/>
  <c r="C2137" i="1"/>
  <c r="D2137" i="1"/>
  <c r="A2138" i="1"/>
  <c r="B2138" i="1"/>
  <c r="C2138" i="1"/>
  <c r="D2138" i="1"/>
  <c r="A2139" i="1"/>
  <c r="B2139" i="1"/>
  <c r="C2139" i="1"/>
  <c r="D2139" i="1"/>
  <c r="A2140" i="1"/>
  <c r="B2140" i="1"/>
  <c r="C2140" i="1"/>
  <c r="D2140" i="1"/>
  <c r="A2141" i="1"/>
  <c r="B2141" i="1"/>
  <c r="C2141" i="1"/>
  <c r="D2141" i="1"/>
  <c r="A2142" i="1"/>
  <c r="B2142" i="1"/>
  <c r="C2142" i="1"/>
  <c r="D2142" i="1"/>
  <c r="A2143" i="1"/>
  <c r="B2143" i="1"/>
  <c r="C2143" i="1"/>
  <c r="D2143" i="1"/>
  <c r="A2144" i="1"/>
  <c r="B2144" i="1"/>
  <c r="C2144" i="1"/>
  <c r="D2144" i="1"/>
  <c r="A2145" i="1"/>
  <c r="B2145" i="1"/>
  <c r="C2145" i="1"/>
  <c r="D2145" i="1"/>
  <c r="A2146" i="1"/>
  <c r="B2146" i="1"/>
  <c r="C2146" i="1"/>
  <c r="D2146" i="1"/>
  <c r="A2147" i="1"/>
  <c r="B2147" i="1"/>
  <c r="C2147" i="1"/>
  <c r="D2147" i="1"/>
  <c r="A2148" i="1"/>
  <c r="B2148" i="1"/>
  <c r="C2148" i="1"/>
  <c r="D2148" i="1"/>
  <c r="A2149" i="1"/>
  <c r="B2149" i="1"/>
  <c r="C2149" i="1"/>
  <c r="D2149" i="1"/>
  <c r="A2150" i="1"/>
  <c r="B2150" i="1"/>
  <c r="C2150" i="1"/>
  <c r="D2150" i="1"/>
  <c r="A2151" i="1"/>
  <c r="B2151" i="1"/>
  <c r="C2151" i="1"/>
  <c r="D2151" i="1"/>
  <c r="A2152" i="1"/>
  <c r="B2152" i="1"/>
  <c r="C2152" i="1"/>
  <c r="D2152" i="1"/>
  <c r="A2153" i="1"/>
  <c r="B2153" i="1"/>
  <c r="C2153" i="1"/>
  <c r="D2153" i="1"/>
  <c r="A2154" i="1"/>
  <c r="B2154" i="1"/>
  <c r="C2154" i="1"/>
  <c r="D2154" i="1"/>
  <c r="A2155" i="1"/>
  <c r="B2155" i="1"/>
  <c r="C2155" i="1"/>
  <c r="D2155" i="1"/>
  <c r="A2156" i="1"/>
  <c r="B2156" i="1"/>
  <c r="C2156" i="1"/>
  <c r="D2156" i="1"/>
  <c r="A2157" i="1"/>
  <c r="B2157" i="1"/>
  <c r="C2157" i="1"/>
  <c r="D2157" i="1"/>
  <c r="A2158" i="1"/>
  <c r="B2158" i="1"/>
  <c r="C2158" i="1"/>
  <c r="D2158" i="1"/>
  <c r="A2159" i="1"/>
  <c r="B2159" i="1"/>
  <c r="C2159" i="1"/>
  <c r="D2159" i="1"/>
  <c r="A2160" i="1"/>
  <c r="B2160" i="1"/>
  <c r="C2160" i="1"/>
  <c r="D2160" i="1"/>
  <c r="A2161" i="1"/>
  <c r="B2161" i="1"/>
  <c r="C2161" i="1"/>
  <c r="D2161" i="1"/>
  <c r="A2162" i="1"/>
  <c r="B2162" i="1"/>
  <c r="C2162" i="1"/>
  <c r="D2162" i="1"/>
  <c r="A2163" i="1"/>
  <c r="B2163" i="1"/>
  <c r="C2163" i="1"/>
  <c r="D2163" i="1"/>
  <c r="A2164" i="1"/>
  <c r="B2164" i="1"/>
  <c r="C2164" i="1"/>
  <c r="D2164" i="1"/>
  <c r="A2165" i="1"/>
  <c r="B2165" i="1"/>
  <c r="C2165" i="1"/>
  <c r="D2165" i="1"/>
  <c r="A2166" i="1"/>
  <c r="B2166" i="1"/>
  <c r="C2166" i="1"/>
  <c r="D2166" i="1"/>
  <c r="A2167" i="1"/>
  <c r="B2167" i="1"/>
  <c r="C2167" i="1"/>
  <c r="D2167" i="1"/>
  <c r="A2168" i="1"/>
  <c r="B2168" i="1"/>
  <c r="C2168" i="1"/>
  <c r="D2168" i="1"/>
  <c r="A2169" i="1"/>
  <c r="B2169" i="1"/>
  <c r="C2169" i="1"/>
  <c r="D2169" i="1"/>
  <c r="A2170" i="1"/>
  <c r="B2170" i="1"/>
  <c r="C2170" i="1"/>
  <c r="D2170" i="1"/>
  <c r="A2171" i="1"/>
  <c r="B2171" i="1"/>
  <c r="C2171" i="1"/>
  <c r="D2171" i="1"/>
  <c r="A2172" i="1"/>
  <c r="B2172" i="1"/>
  <c r="C2172" i="1"/>
  <c r="D2172" i="1"/>
  <c r="A2173" i="1"/>
  <c r="B2173" i="1"/>
  <c r="C2173" i="1"/>
  <c r="D2173" i="1"/>
  <c r="A2174" i="1"/>
  <c r="B2174" i="1"/>
  <c r="C2174" i="1"/>
  <c r="D2174" i="1"/>
  <c r="A2175" i="1"/>
  <c r="B2175" i="1"/>
  <c r="C2175" i="1"/>
  <c r="D2175" i="1"/>
  <c r="A2176" i="1"/>
  <c r="B2176" i="1"/>
  <c r="C2176" i="1"/>
  <c r="D2176" i="1"/>
  <c r="A2177" i="1"/>
  <c r="B2177" i="1"/>
  <c r="C2177" i="1"/>
  <c r="D2177" i="1"/>
  <c r="A2178" i="1"/>
  <c r="B2178" i="1"/>
  <c r="C2178" i="1"/>
  <c r="D2178" i="1"/>
  <c r="A2179" i="1"/>
  <c r="B2179" i="1"/>
  <c r="C2179" i="1"/>
  <c r="D2179" i="1"/>
  <c r="A2180" i="1"/>
  <c r="B2180" i="1"/>
  <c r="C2180" i="1"/>
  <c r="D2180" i="1"/>
  <c r="A2181" i="1"/>
  <c r="B2181" i="1"/>
  <c r="C2181" i="1"/>
  <c r="D2181" i="1"/>
  <c r="A2182" i="1"/>
  <c r="B2182" i="1"/>
  <c r="C2182" i="1"/>
  <c r="D2182" i="1"/>
  <c r="A2183" i="1"/>
  <c r="B2183" i="1"/>
  <c r="C2183" i="1"/>
  <c r="D2183" i="1"/>
  <c r="A2184" i="1"/>
  <c r="B2184" i="1"/>
  <c r="C2184" i="1"/>
  <c r="D2184" i="1"/>
  <c r="A2185" i="1"/>
  <c r="B2185" i="1"/>
  <c r="C2185" i="1"/>
  <c r="D2185" i="1"/>
  <c r="A2186" i="1"/>
  <c r="B2186" i="1"/>
  <c r="C2186" i="1"/>
  <c r="D2186" i="1"/>
  <c r="A2187" i="1"/>
  <c r="B2187" i="1"/>
  <c r="C2187" i="1"/>
  <c r="D2187" i="1"/>
  <c r="A2188" i="1"/>
  <c r="B2188" i="1"/>
  <c r="C2188" i="1"/>
  <c r="D2188" i="1"/>
  <c r="A2189" i="1"/>
  <c r="B2189" i="1"/>
  <c r="C2189" i="1"/>
  <c r="D2189" i="1"/>
  <c r="A2190" i="1"/>
  <c r="B2190" i="1"/>
  <c r="C2190" i="1"/>
  <c r="D2190" i="1"/>
  <c r="A2191" i="1"/>
  <c r="B2191" i="1"/>
  <c r="C2191" i="1"/>
  <c r="D2191" i="1"/>
  <c r="A2192" i="1"/>
  <c r="B2192" i="1"/>
  <c r="C2192" i="1"/>
  <c r="D2192" i="1"/>
  <c r="A2193" i="1"/>
  <c r="B2193" i="1"/>
  <c r="C2193" i="1"/>
  <c r="D2193" i="1"/>
  <c r="A2194" i="1"/>
  <c r="B2194" i="1"/>
  <c r="C2194" i="1"/>
  <c r="D2194" i="1"/>
  <c r="A2195" i="1"/>
  <c r="B2195" i="1"/>
  <c r="C2195" i="1"/>
  <c r="D2195" i="1"/>
  <c r="A2196" i="1"/>
  <c r="B2196" i="1"/>
  <c r="C2196" i="1"/>
  <c r="D2196" i="1"/>
  <c r="A2197" i="1"/>
  <c r="B2197" i="1"/>
  <c r="C2197" i="1"/>
  <c r="D2197" i="1"/>
  <c r="A2198" i="1"/>
  <c r="B2198" i="1"/>
  <c r="C2198" i="1"/>
  <c r="D2198" i="1"/>
  <c r="A2199" i="1"/>
  <c r="B2199" i="1"/>
  <c r="C2199" i="1"/>
  <c r="D2199" i="1"/>
  <c r="A2200" i="1"/>
  <c r="B2200" i="1"/>
  <c r="C2200" i="1"/>
  <c r="D2200" i="1"/>
  <c r="A2201" i="1"/>
  <c r="B2201" i="1"/>
  <c r="C2201" i="1"/>
  <c r="D2201" i="1"/>
  <c r="A2202" i="1"/>
  <c r="B2202" i="1"/>
  <c r="C2202" i="1"/>
  <c r="D2202" i="1"/>
  <c r="A2203" i="1"/>
  <c r="B2203" i="1"/>
  <c r="C2203" i="1"/>
  <c r="D2203" i="1"/>
  <c r="A2204" i="1"/>
  <c r="B2204" i="1"/>
  <c r="C2204" i="1"/>
  <c r="D2204" i="1"/>
  <c r="A2205" i="1"/>
  <c r="B2205" i="1"/>
  <c r="C2205" i="1"/>
  <c r="D2205" i="1"/>
  <c r="A2206" i="1"/>
  <c r="B2206" i="1"/>
  <c r="C2206" i="1"/>
  <c r="D2206" i="1"/>
  <c r="A2207" i="1"/>
  <c r="B2207" i="1"/>
  <c r="C2207" i="1"/>
  <c r="D2207" i="1"/>
  <c r="A2208" i="1"/>
  <c r="B2208" i="1"/>
  <c r="C2208" i="1"/>
  <c r="D2208" i="1"/>
  <c r="A2209" i="1"/>
  <c r="B2209" i="1"/>
  <c r="C2209" i="1"/>
  <c r="D2209" i="1"/>
  <c r="A2210" i="1"/>
  <c r="B2210" i="1"/>
  <c r="C2210" i="1"/>
  <c r="D2210" i="1"/>
  <c r="A2211" i="1"/>
  <c r="B2211" i="1"/>
  <c r="C2211" i="1"/>
  <c r="D2211" i="1"/>
  <c r="A2212" i="1"/>
  <c r="B2212" i="1"/>
  <c r="C2212" i="1"/>
  <c r="D2212" i="1"/>
  <c r="A2213" i="1"/>
  <c r="B2213" i="1"/>
  <c r="C2213" i="1"/>
  <c r="D2213" i="1"/>
  <c r="A2214" i="1"/>
  <c r="B2214" i="1"/>
  <c r="C2214" i="1"/>
  <c r="D2214" i="1"/>
  <c r="A2215" i="1"/>
  <c r="B2215" i="1"/>
  <c r="C2215" i="1"/>
  <c r="D2215" i="1"/>
  <c r="A2216" i="1"/>
  <c r="B2216" i="1"/>
  <c r="C2216" i="1"/>
  <c r="D2216" i="1"/>
  <c r="A2217" i="1"/>
  <c r="B2217" i="1"/>
  <c r="C2217" i="1"/>
  <c r="D2217" i="1"/>
  <c r="A2218" i="1"/>
  <c r="B2218" i="1"/>
  <c r="C2218" i="1"/>
  <c r="D2218" i="1"/>
  <c r="A2219" i="1"/>
  <c r="B2219" i="1"/>
  <c r="C2219" i="1"/>
  <c r="D2219" i="1"/>
  <c r="A2220" i="1"/>
  <c r="B2220" i="1"/>
  <c r="C2220" i="1"/>
  <c r="D2220" i="1"/>
  <c r="A2221" i="1"/>
  <c r="B2221" i="1"/>
  <c r="C2221" i="1"/>
  <c r="D2221" i="1"/>
  <c r="A2222" i="1"/>
  <c r="B2222" i="1"/>
  <c r="C2222" i="1"/>
  <c r="D2222" i="1"/>
  <c r="A2223" i="1"/>
  <c r="B2223" i="1"/>
  <c r="C2223" i="1"/>
  <c r="D2223" i="1"/>
  <c r="A2224" i="1"/>
  <c r="B2224" i="1"/>
  <c r="C2224" i="1"/>
  <c r="D2224" i="1"/>
  <c r="A2225" i="1"/>
  <c r="B2225" i="1"/>
  <c r="C2225" i="1"/>
  <c r="D2225" i="1"/>
  <c r="A2226" i="1"/>
  <c r="B2226" i="1"/>
  <c r="C2226" i="1"/>
  <c r="D2226" i="1"/>
  <c r="A2227" i="1"/>
  <c r="B2227" i="1"/>
  <c r="C2227" i="1"/>
  <c r="D2227" i="1"/>
  <c r="A2228" i="1"/>
  <c r="B2228" i="1"/>
  <c r="C2228" i="1"/>
  <c r="D2228" i="1"/>
  <c r="A2229" i="1"/>
  <c r="B2229" i="1"/>
  <c r="C2229" i="1"/>
  <c r="D2229" i="1"/>
  <c r="A2230" i="1"/>
  <c r="B2230" i="1"/>
  <c r="C2230" i="1"/>
  <c r="D2230" i="1"/>
  <c r="A2231" i="1"/>
  <c r="B2231" i="1"/>
  <c r="C2231" i="1"/>
  <c r="D2231" i="1"/>
  <c r="A2232" i="1"/>
  <c r="B2232" i="1"/>
  <c r="C2232" i="1"/>
  <c r="D2232" i="1"/>
  <c r="A2233" i="1"/>
  <c r="B2233" i="1"/>
  <c r="C2233" i="1"/>
  <c r="D2233" i="1"/>
  <c r="A2234" i="1"/>
  <c r="B2234" i="1"/>
  <c r="C2234" i="1"/>
  <c r="D2234" i="1"/>
  <c r="A2235" i="1"/>
  <c r="B2235" i="1"/>
  <c r="C2235" i="1"/>
  <c r="D2235" i="1"/>
  <c r="A2236" i="1"/>
  <c r="B2236" i="1"/>
  <c r="C2236" i="1"/>
  <c r="D2236" i="1"/>
  <c r="A2237" i="1"/>
  <c r="B2237" i="1"/>
  <c r="C2237" i="1"/>
  <c r="D2237" i="1"/>
  <c r="A2238" i="1"/>
  <c r="B2238" i="1"/>
  <c r="C2238" i="1"/>
  <c r="D2238" i="1"/>
  <c r="A2239" i="1"/>
  <c r="B2239" i="1"/>
  <c r="C2239" i="1"/>
  <c r="D2239" i="1"/>
  <c r="A2240" i="1"/>
  <c r="B2240" i="1"/>
  <c r="C2240" i="1"/>
  <c r="D2240" i="1"/>
  <c r="A2241" i="1"/>
  <c r="B2241" i="1"/>
  <c r="C2241" i="1"/>
  <c r="D2241" i="1"/>
  <c r="A2242" i="1"/>
  <c r="B2242" i="1"/>
  <c r="C2242" i="1"/>
  <c r="D2242" i="1"/>
  <c r="A2243" i="1"/>
  <c r="B2243" i="1"/>
  <c r="C2243" i="1"/>
  <c r="D2243" i="1"/>
  <c r="A2244" i="1"/>
  <c r="B2244" i="1"/>
  <c r="C2244" i="1"/>
  <c r="D2244" i="1"/>
  <c r="A2245" i="1"/>
  <c r="B2245" i="1"/>
  <c r="C2245" i="1"/>
  <c r="D2245" i="1"/>
  <c r="A2246" i="1"/>
  <c r="B2246" i="1"/>
  <c r="C2246" i="1"/>
  <c r="D2246" i="1"/>
  <c r="A2247" i="1"/>
  <c r="B2247" i="1"/>
  <c r="C2247" i="1"/>
  <c r="D2247" i="1"/>
  <c r="A2248" i="1"/>
  <c r="B2248" i="1"/>
  <c r="C2248" i="1"/>
  <c r="D2248" i="1"/>
  <c r="A2249" i="1"/>
  <c r="B2249" i="1"/>
  <c r="C2249" i="1"/>
  <c r="D2249" i="1"/>
  <c r="A2250" i="1"/>
  <c r="B2250" i="1"/>
  <c r="C2250" i="1"/>
  <c r="D2250" i="1"/>
  <c r="A2251" i="1"/>
  <c r="B2251" i="1"/>
  <c r="C2251" i="1"/>
  <c r="D2251" i="1"/>
  <c r="A2252" i="1"/>
  <c r="B2252" i="1"/>
  <c r="C2252" i="1"/>
  <c r="D2252" i="1"/>
  <c r="A2253" i="1"/>
  <c r="B2253" i="1"/>
  <c r="C2253" i="1"/>
  <c r="D2253" i="1"/>
  <c r="A2254" i="1"/>
  <c r="B2254" i="1"/>
  <c r="C2254" i="1"/>
  <c r="D2254" i="1"/>
  <c r="A2255" i="1"/>
  <c r="B2255" i="1"/>
  <c r="C2255" i="1"/>
  <c r="D2255" i="1"/>
  <c r="A2256" i="1"/>
  <c r="B2256" i="1"/>
  <c r="C2256" i="1"/>
  <c r="D2256" i="1"/>
  <c r="A2257" i="1"/>
  <c r="B2257" i="1"/>
  <c r="C2257" i="1"/>
  <c r="D2257" i="1"/>
  <c r="A2258" i="1"/>
  <c r="B2258" i="1"/>
  <c r="C2258" i="1"/>
  <c r="D2258" i="1"/>
  <c r="A2259" i="1"/>
  <c r="B2259" i="1"/>
  <c r="C2259" i="1"/>
  <c r="D2259" i="1"/>
  <c r="A2260" i="1"/>
  <c r="B2260" i="1"/>
  <c r="C2260" i="1"/>
  <c r="D2260" i="1"/>
  <c r="A2261" i="1"/>
  <c r="B2261" i="1"/>
  <c r="C2261" i="1"/>
  <c r="D2261" i="1"/>
  <c r="A2262" i="1"/>
  <c r="B2262" i="1"/>
  <c r="C2262" i="1"/>
  <c r="D2262" i="1"/>
  <c r="A2263" i="1"/>
  <c r="B2263" i="1"/>
  <c r="C2263" i="1"/>
  <c r="D2263" i="1"/>
  <c r="A2264" i="1"/>
  <c r="B2264" i="1"/>
  <c r="C2264" i="1"/>
  <c r="D2264" i="1"/>
  <c r="A2265" i="1"/>
  <c r="B2265" i="1"/>
  <c r="C2265" i="1"/>
  <c r="D2265" i="1"/>
  <c r="A2266" i="1"/>
  <c r="B2266" i="1"/>
  <c r="C2266" i="1"/>
  <c r="D2266" i="1"/>
  <c r="A2267" i="1"/>
  <c r="B2267" i="1"/>
  <c r="C2267" i="1"/>
  <c r="D2267" i="1"/>
  <c r="A2268" i="1"/>
  <c r="B2268" i="1"/>
  <c r="C2268" i="1"/>
  <c r="D2268" i="1"/>
  <c r="A2269" i="1"/>
  <c r="B2269" i="1"/>
  <c r="C2269" i="1"/>
  <c r="D2269" i="1"/>
  <c r="A2270" i="1"/>
  <c r="B2270" i="1"/>
  <c r="C2270" i="1"/>
  <c r="D2270" i="1"/>
  <c r="A2271" i="1"/>
  <c r="B2271" i="1"/>
  <c r="C2271" i="1"/>
  <c r="D2271" i="1"/>
  <c r="A2272" i="1"/>
  <c r="B2272" i="1"/>
  <c r="C2272" i="1"/>
  <c r="D2272" i="1"/>
  <c r="A2273" i="1"/>
  <c r="B2273" i="1"/>
  <c r="C2273" i="1"/>
  <c r="D2273" i="1"/>
  <c r="A2274" i="1"/>
  <c r="B2274" i="1"/>
  <c r="C2274" i="1"/>
  <c r="D2274" i="1"/>
  <c r="A2275" i="1"/>
  <c r="B2275" i="1"/>
  <c r="C2275" i="1"/>
  <c r="D2275" i="1"/>
  <c r="A2276" i="1"/>
  <c r="B2276" i="1"/>
  <c r="C2276" i="1"/>
  <c r="D2276" i="1"/>
  <c r="A2277" i="1"/>
  <c r="B2277" i="1"/>
  <c r="C2277" i="1"/>
  <c r="D2277" i="1"/>
  <c r="A2278" i="1"/>
  <c r="B2278" i="1"/>
  <c r="C2278" i="1"/>
  <c r="D2278" i="1"/>
  <c r="A2279" i="1"/>
  <c r="B2279" i="1"/>
  <c r="C2279" i="1"/>
  <c r="D2279" i="1"/>
  <c r="A2280" i="1"/>
  <c r="B2280" i="1"/>
  <c r="C2280" i="1"/>
  <c r="D2280" i="1"/>
  <c r="A2281" i="1"/>
  <c r="B2281" i="1"/>
  <c r="C2281" i="1"/>
  <c r="D2281" i="1"/>
  <c r="A2282" i="1"/>
  <c r="B2282" i="1"/>
  <c r="C2282" i="1"/>
  <c r="D2282" i="1"/>
  <c r="A2283" i="1"/>
  <c r="B2283" i="1"/>
  <c r="C2283" i="1"/>
  <c r="D2283" i="1"/>
  <c r="A2284" i="1"/>
  <c r="B2284" i="1"/>
  <c r="C2284" i="1"/>
  <c r="D2284" i="1"/>
  <c r="A2285" i="1"/>
  <c r="B2285" i="1"/>
  <c r="C2285" i="1"/>
  <c r="D2285" i="1"/>
  <c r="A2286" i="1"/>
  <c r="B2286" i="1"/>
  <c r="C2286" i="1"/>
  <c r="D2286" i="1"/>
  <c r="A2287" i="1"/>
  <c r="B2287" i="1"/>
  <c r="C2287" i="1"/>
  <c r="D2287" i="1"/>
  <c r="A2288" i="1"/>
  <c r="B2288" i="1"/>
  <c r="C2288" i="1"/>
  <c r="D2288" i="1"/>
  <c r="A2289" i="1"/>
  <c r="B2289" i="1"/>
  <c r="C2289" i="1"/>
  <c r="D2289" i="1"/>
  <c r="A2290" i="1"/>
  <c r="B2290" i="1"/>
  <c r="C2290" i="1"/>
  <c r="D2290" i="1"/>
  <c r="A2291" i="1"/>
  <c r="B2291" i="1"/>
  <c r="C2291" i="1"/>
  <c r="D2291" i="1"/>
  <c r="A2292" i="1"/>
  <c r="B2292" i="1"/>
  <c r="C2292" i="1"/>
  <c r="D2292" i="1"/>
  <c r="A2293" i="1"/>
  <c r="B2293" i="1"/>
  <c r="C2293" i="1"/>
  <c r="D2293" i="1"/>
  <c r="A2294" i="1"/>
  <c r="B2294" i="1"/>
  <c r="C2294" i="1"/>
  <c r="D2294" i="1"/>
  <c r="A2295" i="1"/>
  <c r="B2295" i="1"/>
  <c r="C2295" i="1"/>
  <c r="D2295" i="1"/>
  <c r="A2296" i="1"/>
  <c r="B2296" i="1"/>
  <c r="C2296" i="1"/>
  <c r="D2296" i="1"/>
  <c r="A2297" i="1"/>
  <c r="B2297" i="1"/>
  <c r="C2297" i="1"/>
  <c r="D2297" i="1"/>
  <c r="A2298" i="1"/>
  <c r="B2298" i="1"/>
  <c r="C2298" i="1"/>
  <c r="D2298" i="1"/>
  <c r="A2299" i="1"/>
  <c r="B2299" i="1"/>
  <c r="C2299" i="1"/>
  <c r="D2299" i="1"/>
  <c r="A2300" i="1"/>
  <c r="B2300" i="1"/>
  <c r="C2300" i="1"/>
  <c r="D2300" i="1"/>
  <c r="A2301" i="1"/>
  <c r="B2301" i="1"/>
  <c r="C2301" i="1"/>
  <c r="D2301" i="1"/>
  <c r="A2302" i="1"/>
  <c r="B2302" i="1"/>
  <c r="C2302" i="1"/>
  <c r="D2302" i="1"/>
  <c r="A2303" i="1"/>
  <c r="B2303" i="1"/>
  <c r="C2303" i="1"/>
  <c r="D2303" i="1"/>
  <c r="A2304" i="1"/>
  <c r="B2304" i="1"/>
  <c r="C2304" i="1"/>
  <c r="D2304" i="1"/>
  <c r="A2305" i="1"/>
  <c r="B2305" i="1"/>
  <c r="C2305" i="1"/>
  <c r="D2305" i="1"/>
  <c r="A2306" i="1"/>
  <c r="B2306" i="1"/>
  <c r="C2306" i="1"/>
  <c r="D2306" i="1"/>
  <c r="A2307" i="1"/>
  <c r="B2307" i="1"/>
  <c r="C2307" i="1"/>
  <c r="D2307" i="1"/>
  <c r="A2308" i="1"/>
  <c r="B2308" i="1"/>
  <c r="C2308" i="1"/>
  <c r="D2308" i="1"/>
  <c r="A2309" i="1"/>
  <c r="B2309" i="1"/>
  <c r="C2309" i="1"/>
  <c r="D2309" i="1"/>
  <c r="A2310" i="1"/>
  <c r="B2310" i="1"/>
  <c r="C2310" i="1"/>
  <c r="D2310" i="1"/>
  <c r="A2311" i="1"/>
  <c r="B2311" i="1"/>
  <c r="C2311" i="1"/>
  <c r="D2311" i="1"/>
  <c r="A2312" i="1"/>
  <c r="B2312" i="1"/>
  <c r="C2312" i="1"/>
  <c r="D2312" i="1"/>
  <c r="A2313" i="1"/>
  <c r="B2313" i="1"/>
  <c r="C2313" i="1"/>
  <c r="D2313" i="1"/>
  <c r="A2314" i="1"/>
  <c r="B2314" i="1"/>
  <c r="C2314" i="1"/>
  <c r="D2314" i="1"/>
  <c r="A2315" i="1"/>
  <c r="B2315" i="1"/>
  <c r="C2315" i="1"/>
  <c r="D2315" i="1"/>
  <c r="A2316" i="1"/>
  <c r="B2316" i="1"/>
  <c r="C2316" i="1"/>
  <c r="D2316" i="1"/>
  <c r="A2317" i="1"/>
  <c r="B2317" i="1"/>
  <c r="C2317" i="1"/>
  <c r="D2317" i="1"/>
  <c r="A2318" i="1"/>
  <c r="B2318" i="1"/>
  <c r="C2318" i="1"/>
  <c r="D2318" i="1"/>
  <c r="A2319" i="1"/>
  <c r="B2319" i="1"/>
  <c r="C2319" i="1"/>
  <c r="D2319" i="1"/>
  <c r="A2320" i="1"/>
  <c r="B2320" i="1"/>
  <c r="C2320" i="1"/>
  <c r="D2320" i="1"/>
  <c r="A2321" i="1"/>
  <c r="B2321" i="1"/>
  <c r="C2321" i="1"/>
  <c r="D2321" i="1"/>
  <c r="A2322" i="1"/>
  <c r="B2322" i="1"/>
  <c r="C2322" i="1"/>
  <c r="D2322" i="1"/>
  <c r="A2323" i="1"/>
  <c r="B2323" i="1"/>
  <c r="C2323" i="1"/>
  <c r="D2323" i="1"/>
  <c r="A2324" i="1"/>
  <c r="B2324" i="1"/>
  <c r="C2324" i="1"/>
  <c r="D2324" i="1"/>
  <c r="A2325" i="1"/>
  <c r="B2325" i="1"/>
  <c r="C2325" i="1"/>
  <c r="D2325" i="1"/>
  <c r="A2326" i="1"/>
  <c r="B2326" i="1"/>
  <c r="C2326" i="1"/>
  <c r="D2326" i="1"/>
  <c r="A2327" i="1"/>
  <c r="B2327" i="1"/>
  <c r="C2327" i="1"/>
  <c r="D2327" i="1"/>
  <c r="A2328" i="1"/>
  <c r="B2328" i="1"/>
  <c r="C2328" i="1"/>
  <c r="D2328" i="1"/>
  <c r="A2329" i="1"/>
  <c r="B2329" i="1"/>
  <c r="C2329" i="1"/>
  <c r="D2329" i="1"/>
  <c r="A2330" i="1"/>
  <c r="B2330" i="1"/>
  <c r="C2330" i="1"/>
  <c r="D2330" i="1"/>
  <c r="A2331" i="1"/>
  <c r="B2331" i="1"/>
  <c r="C2331" i="1"/>
  <c r="D2331" i="1"/>
  <c r="A2332" i="1"/>
  <c r="B2332" i="1"/>
  <c r="C2332" i="1"/>
  <c r="D2332" i="1"/>
  <c r="A2333" i="1"/>
  <c r="B2333" i="1"/>
  <c r="C2333" i="1"/>
  <c r="D2333" i="1"/>
  <c r="A2334" i="1"/>
  <c r="B2334" i="1"/>
  <c r="C2334" i="1"/>
  <c r="D2334" i="1"/>
  <c r="A2335" i="1"/>
  <c r="B2335" i="1"/>
  <c r="C2335" i="1"/>
  <c r="D2335" i="1"/>
  <c r="A2336" i="1"/>
  <c r="B2336" i="1"/>
  <c r="C2336" i="1"/>
  <c r="D2336" i="1"/>
  <c r="A2337" i="1"/>
  <c r="B2337" i="1"/>
  <c r="C2337" i="1"/>
  <c r="D2337" i="1"/>
  <c r="A2338" i="1"/>
  <c r="B2338" i="1"/>
  <c r="C2338" i="1"/>
  <c r="D2338" i="1"/>
  <c r="A2339" i="1"/>
  <c r="B2339" i="1"/>
  <c r="C2339" i="1"/>
  <c r="D2339" i="1"/>
  <c r="A2340" i="1"/>
  <c r="B2340" i="1"/>
  <c r="C2340" i="1"/>
  <c r="D2340" i="1"/>
  <c r="A2341" i="1"/>
  <c r="B2341" i="1"/>
  <c r="C2341" i="1"/>
  <c r="D2341" i="1"/>
  <c r="A2342" i="1"/>
  <c r="B2342" i="1"/>
  <c r="C2342" i="1"/>
  <c r="D2342" i="1"/>
  <c r="A2343" i="1"/>
  <c r="B2343" i="1"/>
  <c r="C2343" i="1"/>
  <c r="D2343" i="1"/>
  <c r="A2344" i="1"/>
  <c r="B2344" i="1"/>
  <c r="C2344" i="1"/>
  <c r="D2344" i="1"/>
  <c r="A2345" i="1"/>
  <c r="B2345" i="1"/>
  <c r="C2345" i="1"/>
  <c r="D2345" i="1"/>
  <c r="A2346" i="1"/>
  <c r="B2346" i="1"/>
  <c r="C2346" i="1"/>
  <c r="D2346" i="1"/>
  <c r="A2347" i="1"/>
  <c r="B2347" i="1"/>
  <c r="C2347" i="1"/>
  <c r="D2347" i="1"/>
  <c r="A2348" i="1"/>
  <c r="B2348" i="1"/>
  <c r="C2348" i="1"/>
  <c r="D2348" i="1"/>
  <c r="A2349" i="1"/>
  <c r="B2349" i="1"/>
  <c r="C2349" i="1"/>
  <c r="D2349" i="1"/>
  <c r="A2350" i="1"/>
  <c r="B2350" i="1"/>
  <c r="C2350" i="1"/>
  <c r="D2350" i="1"/>
  <c r="A2351" i="1"/>
  <c r="B2351" i="1"/>
  <c r="C2351" i="1"/>
  <c r="D2351" i="1"/>
  <c r="A2352" i="1"/>
  <c r="B2352" i="1"/>
  <c r="C2352" i="1"/>
  <c r="D2352" i="1"/>
  <c r="A2353" i="1"/>
  <c r="B2353" i="1"/>
  <c r="C2353" i="1"/>
  <c r="D2353" i="1"/>
  <c r="A2354" i="1"/>
  <c r="B2354" i="1"/>
  <c r="C2354" i="1"/>
  <c r="D2354" i="1"/>
  <c r="A2355" i="1"/>
  <c r="B2355" i="1"/>
  <c r="C2355" i="1"/>
  <c r="D2355" i="1"/>
  <c r="A2356" i="1"/>
  <c r="B2356" i="1"/>
  <c r="C2356" i="1"/>
  <c r="D2356" i="1"/>
  <c r="A2357" i="1"/>
  <c r="B2357" i="1"/>
  <c r="C2357" i="1"/>
  <c r="D2357" i="1"/>
  <c r="A2358" i="1"/>
  <c r="B2358" i="1"/>
  <c r="C2358" i="1"/>
  <c r="D2358" i="1"/>
  <c r="A2359" i="1"/>
  <c r="B2359" i="1"/>
  <c r="C2359" i="1"/>
  <c r="D2359" i="1"/>
  <c r="A2360" i="1"/>
  <c r="B2360" i="1"/>
  <c r="C2360" i="1"/>
  <c r="D2360" i="1"/>
  <c r="A2361" i="1"/>
  <c r="B2361" i="1"/>
  <c r="C2361" i="1"/>
  <c r="D2361" i="1"/>
  <c r="A2362" i="1"/>
  <c r="B2362" i="1"/>
  <c r="C2362" i="1"/>
  <c r="D2362" i="1"/>
  <c r="A2363" i="1"/>
  <c r="B2363" i="1"/>
  <c r="C2363" i="1"/>
  <c r="D2363" i="1"/>
  <c r="A2364" i="1"/>
  <c r="B2364" i="1"/>
  <c r="C2364" i="1"/>
  <c r="D2364" i="1"/>
  <c r="A2365" i="1"/>
  <c r="B2365" i="1"/>
  <c r="C2365" i="1"/>
  <c r="D2365" i="1"/>
  <c r="A2366" i="1"/>
  <c r="B2366" i="1"/>
  <c r="C2366" i="1"/>
  <c r="D2366" i="1"/>
  <c r="A2367" i="1"/>
  <c r="B2367" i="1"/>
  <c r="C2367" i="1"/>
  <c r="D2367" i="1"/>
  <c r="A2368" i="1"/>
  <c r="B2368" i="1"/>
  <c r="C2368" i="1"/>
  <c r="D2368" i="1"/>
  <c r="A2369" i="1"/>
  <c r="B2369" i="1"/>
  <c r="C2369" i="1"/>
  <c r="D2369" i="1"/>
  <c r="A2370" i="1"/>
  <c r="B2370" i="1"/>
  <c r="C2370" i="1"/>
  <c r="D2370" i="1"/>
  <c r="A2371" i="1"/>
  <c r="B2371" i="1"/>
  <c r="C2371" i="1"/>
  <c r="D2371" i="1"/>
  <c r="A2372" i="1"/>
  <c r="B2372" i="1"/>
  <c r="C2372" i="1"/>
  <c r="D2372" i="1"/>
  <c r="A2373" i="1"/>
  <c r="B2373" i="1"/>
  <c r="C2373" i="1"/>
  <c r="D2373" i="1"/>
  <c r="A2374" i="1"/>
  <c r="B2374" i="1"/>
  <c r="C2374" i="1"/>
  <c r="D2374" i="1"/>
  <c r="A2375" i="1"/>
  <c r="B2375" i="1"/>
  <c r="C2375" i="1"/>
  <c r="D2375" i="1"/>
  <c r="A2376" i="1"/>
  <c r="B2376" i="1"/>
  <c r="C2376" i="1"/>
  <c r="D2376" i="1"/>
  <c r="A2377" i="1"/>
  <c r="B2377" i="1"/>
  <c r="C2377" i="1"/>
  <c r="D2377" i="1"/>
  <c r="A2378" i="1"/>
  <c r="B2378" i="1"/>
  <c r="C2378" i="1"/>
  <c r="D2378" i="1"/>
  <c r="A2379" i="1"/>
  <c r="B2379" i="1"/>
  <c r="C2379" i="1"/>
  <c r="D2379" i="1"/>
  <c r="A2380" i="1"/>
  <c r="B2380" i="1"/>
  <c r="C2380" i="1"/>
  <c r="D2380" i="1"/>
  <c r="A2381" i="1"/>
  <c r="B2381" i="1"/>
  <c r="C2381" i="1"/>
  <c r="D2381" i="1"/>
  <c r="A2382" i="1"/>
  <c r="B2382" i="1"/>
  <c r="C2382" i="1"/>
  <c r="D2382" i="1"/>
  <c r="A2383" i="1"/>
  <c r="B2383" i="1"/>
  <c r="C2383" i="1"/>
  <c r="D2383" i="1"/>
  <c r="A2384" i="1"/>
  <c r="B2384" i="1"/>
  <c r="C2384" i="1"/>
  <c r="D2384" i="1"/>
  <c r="A2385" i="1"/>
  <c r="B2385" i="1"/>
  <c r="C2385" i="1"/>
  <c r="D2385" i="1"/>
  <c r="A2386" i="1"/>
  <c r="B2386" i="1"/>
  <c r="C2386" i="1"/>
  <c r="D2386" i="1"/>
  <c r="A2387" i="1"/>
  <c r="B2387" i="1"/>
  <c r="C2387" i="1"/>
  <c r="D2387" i="1"/>
  <c r="A2388" i="1"/>
  <c r="B2388" i="1"/>
  <c r="C2388" i="1"/>
  <c r="D2388" i="1"/>
  <c r="A2389" i="1"/>
  <c r="B2389" i="1"/>
  <c r="C2389" i="1"/>
  <c r="D2389" i="1"/>
  <c r="A2390" i="1"/>
  <c r="B2390" i="1"/>
  <c r="C2390" i="1"/>
  <c r="D2390" i="1"/>
  <c r="A2391" i="1"/>
  <c r="B2391" i="1"/>
  <c r="C2391" i="1"/>
  <c r="D2391" i="1"/>
  <c r="A2392" i="1"/>
  <c r="B2392" i="1"/>
  <c r="C2392" i="1"/>
  <c r="D2392" i="1"/>
  <c r="A2393" i="1"/>
  <c r="B2393" i="1"/>
  <c r="C2393" i="1"/>
  <c r="D2393" i="1"/>
  <c r="A2394" i="1"/>
  <c r="B2394" i="1"/>
  <c r="C2394" i="1"/>
  <c r="D2394" i="1"/>
  <c r="A2395" i="1"/>
  <c r="B2395" i="1"/>
  <c r="C2395" i="1"/>
  <c r="D2395" i="1"/>
  <c r="A2396" i="1"/>
  <c r="B2396" i="1"/>
  <c r="C2396" i="1"/>
  <c r="D2396" i="1"/>
  <c r="A2397" i="1"/>
  <c r="B2397" i="1"/>
  <c r="C2397" i="1"/>
  <c r="D2397" i="1"/>
  <c r="A2398" i="1"/>
  <c r="B2398" i="1"/>
  <c r="C2398" i="1"/>
  <c r="D2398" i="1"/>
  <c r="A2399" i="1"/>
  <c r="B2399" i="1"/>
  <c r="C2399" i="1"/>
  <c r="D2399" i="1"/>
  <c r="A2400" i="1"/>
  <c r="B2400" i="1"/>
  <c r="C2400" i="1"/>
  <c r="D2400" i="1"/>
  <c r="A2401" i="1"/>
  <c r="B2401" i="1"/>
  <c r="C2401" i="1"/>
  <c r="D2401" i="1"/>
  <c r="A2402" i="1"/>
  <c r="B2402" i="1"/>
  <c r="C2402" i="1"/>
  <c r="D2402" i="1"/>
  <c r="A2403" i="1"/>
  <c r="B2403" i="1"/>
  <c r="C2403" i="1"/>
  <c r="D2403" i="1"/>
  <c r="A2404" i="1"/>
  <c r="B2404" i="1"/>
  <c r="C2404" i="1"/>
  <c r="D2404" i="1"/>
  <c r="A2405" i="1"/>
  <c r="B2405" i="1"/>
  <c r="C2405" i="1"/>
  <c r="D2405" i="1"/>
  <c r="A2406" i="1"/>
  <c r="B2406" i="1"/>
  <c r="C2406" i="1"/>
  <c r="D2406" i="1"/>
  <c r="A2407" i="1"/>
  <c r="B2407" i="1"/>
  <c r="C2407" i="1"/>
  <c r="D2407" i="1"/>
  <c r="A2408" i="1"/>
  <c r="B2408" i="1"/>
  <c r="C2408" i="1"/>
  <c r="D2408" i="1"/>
  <c r="A2409" i="1"/>
  <c r="B2409" i="1"/>
  <c r="C2409" i="1"/>
  <c r="D2409" i="1"/>
  <c r="A2410" i="1"/>
  <c r="B2410" i="1"/>
  <c r="C2410" i="1"/>
  <c r="D2410" i="1"/>
  <c r="A2411" i="1"/>
  <c r="B2411" i="1"/>
  <c r="C2411" i="1"/>
  <c r="D2411" i="1"/>
  <c r="A2412" i="1"/>
  <c r="B2412" i="1"/>
  <c r="C2412" i="1"/>
  <c r="D2412" i="1"/>
  <c r="A2413" i="1"/>
  <c r="B2413" i="1"/>
  <c r="C2413" i="1"/>
  <c r="D2413" i="1"/>
  <c r="A2414" i="1"/>
  <c r="B2414" i="1"/>
  <c r="C2414" i="1"/>
  <c r="D2414" i="1"/>
  <c r="A2415" i="1"/>
  <c r="B2415" i="1"/>
  <c r="C2415" i="1"/>
  <c r="D2415" i="1"/>
  <c r="A2416" i="1"/>
  <c r="B2416" i="1"/>
  <c r="C2416" i="1"/>
  <c r="D2416" i="1"/>
  <c r="A2417" i="1"/>
  <c r="B2417" i="1"/>
  <c r="C2417" i="1"/>
  <c r="D2417" i="1"/>
  <c r="A2418" i="1"/>
  <c r="B2418" i="1"/>
  <c r="C2418" i="1"/>
  <c r="D2418" i="1"/>
  <c r="A2419" i="1"/>
  <c r="B2419" i="1"/>
  <c r="C2419" i="1"/>
  <c r="D2419" i="1"/>
  <c r="A2420" i="1"/>
  <c r="B2420" i="1"/>
  <c r="C2420" i="1"/>
  <c r="D2420" i="1"/>
  <c r="A2421" i="1"/>
  <c r="B2421" i="1"/>
  <c r="C2421" i="1"/>
  <c r="D2421" i="1"/>
  <c r="A2422" i="1"/>
  <c r="B2422" i="1"/>
  <c r="C2422" i="1"/>
  <c r="D2422" i="1"/>
  <c r="A2423" i="1"/>
  <c r="B2423" i="1"/>
  <c r="C2423" i="1"/>
  <c r="D2423" i="1"/>
  <c r="A2424" i="1"/>
  <c r="B2424" i="1"/>
  <c r="C2424" i="1"/>
  <c r="D2424" i="1"/>
  <c r="A2425" i="1"/>
  <c r="B2425" i="1"/>
  <c r="C2425" i="1"/>
  <c r="D2425" i="1"/>
  <c r="A2426" i="1"/>
  <c r="B2426" i="1"/>
  <c r="C2426" i="1"/>
  <c r="D2426" i="1"/>
  <c r="A2427" i="1"/>
  <c r="B2427" i="1"/>
  <c r="C2427" i="1"/>
  <c r="D2427" i="1"/>
  <c r="A2428" i="1"/>
  <c r="B2428" i="1"/>
  <c r="C2428" i="1"/>
  <c r="D2428" i="1"/>
  <c r="A2429" i="1"/>
  <c r="B2429" i="1"/>
  <c r="C2429" i="1"/>
  <c r="D2429" i="1"/>
  <c r="A2430" i="1"/>
  <c r="B2430" i="1"/>
  <c r="C2430" i="1"/>
  <c r="D2430" i="1"/>
  <c r="A2431" i="1"/>
  <c r="B2431" i="1"/>
  <c r="C2431" i="1"/>
  <c r="D2431" i="1"/>
  <c r="A2432" i="1"/>
  <c r="B2432" i="1"/>
  <c r="C2432" i="1"/>
  <c r="D2432" i="1"/>
  <c r="A2433" i="1"/>
  <c r="B2433" i="1"/>
  <c r="C2433" i="1"/>
  <c r="D2433" i="1"/>
  <c r="A2434" i="1"/>
  <c r="B2434" i="1"/>
  <c r="C2434" i="1"/>
  <c r="D2434" i="1"/>
  <c r="A2435" i="1"/>
  <c r="B2435" i="1"/>
  <c r="C2435" i="1"/>
  <c r="D2435" i="1"/>
  <c r="A2436" i="1"/>
  <c r="B2436" i="1"/>
  <c r="C2436" i="1"/>
  <c r="D2436" i="1"/>
  <c r="A2437" i="1"/>
  <c r="B2437" i="1"/>
  <c r="C2437" i="1"/>
  <c r="D2437" i="1"/>
  <c r="A2438" i="1"/>
  <c r="B2438" i="1"/>
  <c r="C2438" i="1"/>
  <c r="D2438" i="1"/>
  <c r="A2439" i="1"/>
  <c r="B2439" i="1"/>
  <c r="C2439" i="1"/>
  <c r="D2439" i="1"/>
  <c r="A2440" i="1"/>
  <c r="B2440" i="1"/>
  <c r="C2440" i="1"/>
  <c r="D2440" i="1"/>
  <c r="A2441" i="1"/>
  <c r="B2441" i="1"/>
  <c r="C2441" i="1"/>
  <c r="D2441" i="1"/>
  <c r="A2442" i="1"/>
  <c r="B2442" i="1"/>
  <c r="C2442" i="1"/>
  <c r="D2442" i="1"/>
  <c r="A2443" i="1"/>
  <c r="B2443" i="1"/>
  <c r="C2443" i="1"/>
  <c r="D2443" i="1"/>
  <c r="A2444" i="1"/>
  <c r="B2444" i="1"/>
  <c r="C2444" i="1"/>
  <c r="D2444" i="1"/>
  <c r="A2445" i="1"/>
  <c r="B2445" i="1"/>
  <c r="C2445" i="1"/>
  <c r="D2445" i="1"/>
  <c r="A2446" i="1"/>
  <c r="B2446" i="1"/>
  <c r="C2446" i="1"/>
  <c r="D2446" i="1"/>
  <c r="A2447" i="1"/>
  <c r="B2447" i="1"/>
  <c r="C2447" i="1"/>
  <c r="D2447" i="1"/>
  <c r="A2448" i="1"/>
  <c r="B2448" i="1"/>
  <c r="C2448" i="1"/>
  <c r="D2448" i="1"/>
  <c r="A2449" i="1"/>
  <c r="B2449" i="1"/>
  <c r="C2449" i="1"/>
  <c r="D2449" i="1"/>
  <c r="A2450" i="1"/>
  <c r="B2450" i="1"/>
  <c r="C2450" i="1"/>
  <c r="D2450" i="1"/>
  <c r="A2451" i="1"/>
  <c r="B2451" i="1"/>
  <c r="C2451" i="1"/>
  <c r="D2451" i="1"/>
  <c r="A2452" i="1"/>
  <c r="B2452" i="1"/>
  <c r="C2452" i="1"/>
  <c r="D2452" i="1"/>
  <c r="A2453" i="1"/>
  <c r="B2453" i="1"/>
  <c r="C2453" i="1"/>
  <c r="D2453" i="1"/>
  <c r="A2454" i="1"/>
  <c r="B2454" i="1"/>
  <c r="C2454" i="1"/>
  <c r="D2454" i="1"/>
  <c r="A2455" i="1"/>
  <c r="B2455" i="1"/>
  <c r="C2455" i="1"/>
  <c r="D2455" i="1"/>
  <c r="A2456" i="1"/>
  <c r="B2456" i="1"/>
  <c r="C2456" i="1"/>
  <c r="D2456" i="1"/>
  <c r="A2457" i="1"/>
  <c r="B2457" i="1"/>
  <c r="C2457" i="1"/>
  <c r="D2457" i="1"/>
  <c r="A2458" i="1"/>
  <c r="B2458" i="1"/>
  <c r="C2458" i="1"/>
  <c r="D2458" i="1"/>
  <c r="A2459" i="1"/>
  <c r="B2459" i="1"/>
  <c r="C2459" i="1"/>
  <c r="D2459" i="1"/>
  <c r="A2460" i="1"/>
  <c r="B2460" i="1"/>
  <c r="C2460" i="1"/>
  <c r="D2460" i="1"/>
  <c r="A2461" i="1"/>
  <c r="B2461" i="1"/>
  <c r="C2461" i="1"/>
  <c r="D2461" i="1"/>
  <c r="A2462" i="1"/>
  <c r="B2462" i="1"/>
  <c r="C2462" i="1"/>
  <c r="D2462" i="1"/>
  <c r="A2463" i="1"/>
  <c r="B2463" i="1"/>
  <c r="C2463" i="1"/>
  <c r="D2463" i="1"/>
  <c r="A2464" i="1"/>
  <c r="B2464" i="1"/>
  <c r="C2464" i="1"/>
  <c r="D2464" i="1"/>
  <c r="A2465" i="1"/>
  <c r="B2465" i="1"/>
  <c r="C2465" i="1"/>
  <c r="D2465" i="1"/>
  <c r="A2466" i="1"/>
  <c r="B2466" i="1"/>
  <c r="C2466" i="1"/>
  <c r="D2466" i="1"/>
  <c r="A2467" i="1"/>
  <c r="B2467" i="1"/>
  <c r="C2467" i="1"/>
  <c r="D2467" i="1"/>
  <c r="A2468" i="1"/>
  <c r="B2468" i="1"/>
  <c r="C2468" i="1"/>
  <c r="D2468" i="1"/>
  <c r="A2469" i="1"/>
  <c r="B2469" i="1"/>
  <c r="C2469" i="1"/>
  <c r="D2469" i="1"/>
  <c r="A2470" i="1"/>
  <c r="B2470" i="1"/>
  <c r="C2470" i="1"/>
  <c r="D2470" i="1"/>
  <c r="A2471" i="1"/>
  <c r="B2471" i="1"/>
  <c r="C2471" i="1"/>
  <c r="D2471" i="1"/>
  <c r="A2472" i="1"/>
  <c r="B2472" i="1"/>
  <c r="C2472" i="1"/>
  <c r="D2472" i="1"/>
  <c r="A2473" i="1"/>
  <c r="B2473" i="1"/>
  <c r="C2473" i="1"/>
  <c r="D2473" i="1"/>
  <c r="A2474" i="1"/>
  <c r="B2474" i="1"/>
  <c r="C2474" i="1"/>
  <c r="D2474" i="1"/>
  <c r="A2475" i="1"/>
  <c r="B2475" i="1"/>
  <c r="C2475" i="1"/>
  <c r="D2475" i="1"/>
  <c r="A2476" i="1"/>
  <c r="B2476" i="1"/>
  <c r="C2476" i="1"/>
  <c r="D2476" i="1"/>
  <c r="A2477" i="1"/>
  <c r="B2477" i="1"/>
  <c r="C2477" i="1"/>
  <c r="D2477" i="1"/>
  <c r="A2478" i="1"/>
  <c r="B2478" i="1"/>
  <c r="C2478" i="1"/>
  <c r="D2478" i="1"/>
  <c r="A2479" i="1"/>
  <c r="B2479" i="1"/>
  <c r="C2479" i="1"/>
  <c r="D2479" i="1"/>
  <c r="A2480" i="1"/>
  <c r="B2480" i="1"/>
  <c r="C2480" i="1"/>
  <c r="D2480" i="1"/>
  <c r="A2481" i="1"/>
  <c r="B2481" i="1"/>
  <c r="C2481" i="1"/>
  <c r="D2481" i="1"/>
  <c r="A2482" i="1"/>
  <c r="B2482" i="1"/>
  <c r="C2482" i="1"/>
  <c r="D2482" i="1"/>
  <c r="A2483" i="1"/>
  <c r="B2483" i="1"/>
  <c r="C2483" i="1"/>
  <c r="D2483" i="1"/>
  <c r="A2484" i="1"/>
  <c r="B2484" i="1"/>
  <c r="C2484" i="1"/>
  <c r="D2484" i="1"/>
  <c r="A2485" i="1"/>
  <c r="B2485" i="1"/>
  <c r="C2485" i="1"/>
  <c r="D2485" i="1"/>
  <c r="A2486" i="1"/>
  <c r="B2486" i="1"/>
  <c r="C2486" i="1"/>
  <c r="D2486" i="1"/>
  <c r="A2487" i="1"/>
  <c r="B2487" i="1"/>
  <c r="C2487" i="1"/>
  <c r="D2487" i="1"/>
  <c r="A2488" i="1"/>
  <c r="B2488" i="1"/>
  <c r="C2488" i="1"/>
  <c r="D2488" i="1"/>
  <c r="A2489" i="1"/>
  <c r="B2489" i="1"/>
  <c r="C2489" i="1"/>
  <c r="D2489" i="1"/>
  <c r="A2490" i="1"/>
  <c r="B2490" i="1"/>
  <c r="C2490" i="1"/>
  <c r="D2490" i="1"/>
  <c r="A2491" i="1"/>
  <c r="B2491" i="1"/>
  <c r="C2491" i="1"/>
  <c r="D2491" i="1"/>
  <c r="A2492" i="1"/>
  <c r="B2492" i="1"/>
  <c r="C2492" i="1"/>
  <c r="D2492" i="1"/>
  <c r="A2493" i="1"/>
  <c r="B2493" i="1"/>
  <c r="C2493" i="1"/>
  <c r="D2493" i="1"/>
  <c r="A2494" i="1"/>
  <c r="B2494" i="1"/>
  <c r="C2494" i="1"/>
  <c r="D2494" i="1"/>
  <c r="A2495" i="1"/>
  <c r="B2495" i="1"/>
  <c r="C2495" i="1"/>
  <c r="D2495" i="1"/>
  <c r="A2496" i="1"/>
  <c r="B2496" i="1"/>
  <c r="C2496" i="1"/>
  <c r="D2496" i="1"/>
  <c r="A2497" i="1"/>
  <c r="B2497" i="1"/>
  <c r="C2497" i="1"/>
  <c r="D2497" i="1"/>
  <c r="A2498" i="1"/>
  <c r="B2498" i="1"/>
  <c r="C2498" i="1"/>
  <c r="D2498" i="1"/>
  <c r="A2499" i="1"/>
  <c r="B2499" i="1"/>
  <c r="C2499" i="1"/>
  <c r="D2499" i="1"/>
  <c r="A2500" i="1"/>
  <c r="B2500" i="1"/>
  <c r="C2500" i="1"/>
  <c r="D2500" i="1"/>
  <c r="A2501" i="1"/>
  <c r="B2501" i="1"/>
  <c r="C2501" i="1"/>
  <c r="D2501" i="1"/>
  <c r="A2502" i="1"/>
  <c r="B2502" i="1"/>
  <c r="C2502" i="1"/>
  <c r="D2502" i="1"/>
  <c r="A2503" i="1"/>
  <c r="B2503" i="1"/>
  <c r="C2503" i="1"/>
  <c r="D2503" i="1"/>
  <c r="A2504" i="1"/>
  <c r="B2504" i="1"/>
  <c r="C2504" i="1"/>
  <c r="D2504" i="1"/>
  <c r="A2505" i="1"/>
  <c r="B2505" i="1"/>
  <c r="C2505" i="1"/>
  <c r="D2505" i="1"/>
  <c r="A2506" i="1"/>
  <c r="B2506" i="1"/>
  <c r="C2506" i="1"/>
  <c r="D2506" i="1"/>
  <c r="A2507" i="1"/>
  <c r="B2507" i="1"/>
  <c r="C2507" i="1"/>
  <c r="D2507" i="1"/>
  <c r="A2508" i="1"/>
  <c r="B2508" i="1"/>
  <c r="C2508" i="1"/>
  <c r="D2508" i="1"/>
  <c r="A2509" i="1"/>
  <c r="B2509" i="1"/>
  <c r="C2509" i="1"/>
  <c r="D2509" i="1"/>
  <c r="A2510" i="1"/>
  <c r="B2510" i="1"/>
  <c r="C2510" i="1"/>
  <c r="D2510" i="1"/>
  <c r="A2511" i="1"/>
  <c r="B2511" i="1"/>
  <c r="C2511" i="1"/>
  <c r="D2511" i="1"/>
  <c r="A2512" i="1"/>
  <c r="B2512" i="1"/>
  <c r="C2512" i="1"/>
  <c r="D2512" i="1"/>
  <c r="A2513" i="1"/>
  <c r="B2513" i="1"/>
  <c r="C2513" i="1"/>
  <c r="D2513" i="1"/>
  <c r="A2514" i="1"/>
  <c r="B2514" i="1"/>
  <c r="C2514" i="1"/>
  <c r="D2514" i="1"/>
  <c r="A2515" i="1"/>
  <c r="B2515" i="1"/>
  <c r="C2515" i="1"/>
  <c r="D2515" i="1"/>
  <c r="A2516" i="1"/>
  <c r="B2516" i="1"/>
  <c r="C2516" i="1"/>
  <c r="D2516" i="1"/>
  <c r="A2517" i="1"/>
  <c r="B2517" i="1"/>
  <c r="C2517" i="1"/>
  <c r="D2517" i="1"/>
  <c r="A2518" i="1"/>
  <c r="B2518" i="1"/>
  <c r="C2518" i="1"/>
  <c r="D2518" i="1"/>
  <c r="A2519" i="1"/>
  <c r="B2519" i="1"/>
  <c r="C2519" i="1"/>
  <c r="D2519" i="1"/>
  <c r="A2520" i="1"/>
  <c r="B2520" i="1"/>
  <c r="C2520" i="1"/>
  <c r="D2520" i="1"/>
  <c r="A2521" i="1"/>
  <c r="B2521" i="1"/>
  <c r="C2521" i="1"/>
  <c r="D2521" i="1"/>
  <c r="A2522" i="1"/>
  <c r="B2522" i="1"/>
  <c r="C2522" i="1"/>
  <c r="D2522" i="1"/>
  <c r="A2523" i="1"/>
  <c r="B2523" i="1"/>
  <c r="C2523" i="1"/>
  <c r="D2523" i="1"/>
  <c r="A2524" i="1"/>
  <c r="B2524" i="1"/>
  <c r="C2524" i="1"/>
  <c r="D2524" i="1"/>
  <c r="A2525" i="1"/>
  <c r="B2525" i="1"/>
  <c r="C2525" i="1"/>
  <c r="D2525" i="1"/>
  <c r="A2526" i="1"/>
  <c r="B2526" i="1"/>
  <c r="C2526" i="1"/>
  <c r="D2526" i="1"/>
  <c r="A2527" i="1"/>
  <c r="B2527" i="1"/>
  <c r="C2527" i="1"/>
  <c r="D2527" i="1"/>
  <c r="A2528" i="1"/>
  <c r="B2528" i="1"/>
  <c r="C2528" i="1"/>
  <c r="D2528" i="1"/>
  <c r="A2529" i="1"/>
  <c r="B2529" i="1"/>
  <c r="C2529" i="1"/>
  <c r="D2529" i="1"/>
  <c r="A2530" i="1"/>
  <c r="B2530" i="1"/>
  <c r="C2530" i="1"/>
  <c r="D2530" i="1"/>
  <c r="A2531" i="1"/>
  <c r="B2531" i="1"/>
  <c r="C2531" i="1"/>
  <c r="D2531" i="1"/>
  <c r="A2532" i="1"/>
  <c r="B2532" i="1"/>
  <c r="C2532" i="1"/>
  <c r="D2532" i="1"/>
  <c r="A2533" i="1"/>
  <c r="B2533" i="1"/>
  <c r="C2533" i="1"/>
  <c r="D2533" i="1"/>
  <c r="A2534" i="1"/>
  <c r="B2534" i="1"/>
  <c r="C2534" i="1"/>
  <c r="D2534" i="1"/>
  <c r="A2535" i="1"/>
  <c r="B2535" i="1"/>
  <c r="C2535" i="1"/>
  <c r="D2535" i="1"/>
  <c r="A2536" i="1"/>
  <c r="B2536" i="1"/>
  <c r="C2536" i="1"/>
  <c r="D2536" i="1"/>
  <c r="A2537" i="1"/>
  <c r="B2537" i="1"/>
  <c r="C2537" i="1"/>
  <c r="D2537" i="1"/>
  <c r="A2538" i="1"/>
  <c r="B2538" i="1"/>
  <c r="C2538" i="1"/>
  <c r="D2538" i="1"/>
  <c r="A2539" i="1"/>
  <c r="B2539" i="1"/>
  <c r="C2539" i="1"/>
  <c r="D2539" i="1"/>
  <c r="A2540" i="1"/>
  <c r="B2540" i="1"/>
  <c r="C2540" i="1"/>
  <c r="D2540" i="1"/>
  <c r="A2541" i="1"/>
  <c r="B2541" i="1"/>
  <c r="C2541" i="1"/>
  <c r="D2541" i="1"/>
  <c r="A2542" i="1"/>
  <c r="B2542" i="1"/>
  <c r="C2542" i="1"/>
  <c r="D2542" i="1"/>
  <c r="A2543" i="1"/>
  <c r="B2543" i="1"/>
  <c r="C2543" i="1"/>
  <c r="D2543" i="1"/>
  <c r="A2544" i="1"/>
  <c r="B2544" i="1"/>
  <c r="C2544" i="1"/>
  <c r="D2544" i="1"/>
  <c r="A2545" i="1"/>
  <c r="B2545" i="1"/>
  <c r="C2545" i="1"/>
  <c r="D2545" i="1"/>
  <c r="A2546" i="1"/>
  <c r="B2546" i="1"/>
  <c r="C2546" i="1"/>
  <c r="D2546" i="1"/>
  <c r="A2547" i="1"/>
  <c r="B2547" i="1"/>
  <c r="C2547" i="1"/>
  <c r="D2547" i="1"/>
  <c r="A2548" i="1"/>
  <c r="B2548" i="1"/>
  <c r="C2548" i="1"/>
  <c r="D2548" i="1"/>
  <c r="A2549" i="1"/>
  <c r="B2549" i="1"/>
  <c r="C2549" i="1"/>
  <c r="D2549" i="1"/>
  <c r="A2550" i="1"/>
  <c r="B2550" i="1"/>
  <c r="C2550" i="1"/>
  <c r="D2550" i="1"/>
  <c r="A2551" i="1"/>
  <c r="B2551" i="1"/>
  <c r="C2551" i="1"/>
  <c r="D2551" i="1"/>
  <c r="A2552" i="1"/>
  <c r="B2552" i="1"/>
  <c r="C2552" i="1"/>
  <c r="D2552" i="1"/>
  <c r="A2553" i="1"/>
  <c r="B2553" i="1"/>
  <c r="C2553" i="1"/>
  <c r="D2553" i="1"/>
  <c r="A2554" i="1"/>
  <c r="B2554" i="1"/>
  <c r="C2554" i="1"/>
  <c r="D2554" i="1"/>
  <c r="A2555" i="1"/>
  <c r="B2555" i="1"/>
  <c r="C2555" i="1"/>
  <c r="D2555" i="1"/>
  <c r="A2556" i="1"/>
  <c r="B2556" i="1"/>
  <c r="C2556" i="1"/>
  <c r="D2556" i="1"/>
  <c r="A2557" i="1"/>
  <c r="B2557" i="1"/>
  <c r="C2557" i="1"/>
  <c r="D2557" i="1"/>
  <c r="A2558" i="1"/>
  <c r="B2558" i="1"/>
  <c r="C2558" i="1"/>
  <c r="D2558" i="1"/>
  <c r="A2559" i="1"/>
  <c r="B2559" i="1"/>
  <c r="C2559" i="1"/>
  <c r="D2559" i="1"/>
  <c r="A2560" i="1"/>
  <c r="B2560" i="1"/>
  <c r="C2560" i="1"/>
  <c r="D2560" i="1"/>
  <c r="A2561" i="1"/>
  <c r="B2561" i="1"/>
  <c r="C2561" i="1"/>
  <c r="D2561" i="1"/>
  <c r="A2562" i="1"/>
  <c r="B2562" i="1"/>
  <c r="C2562" i="1"/>
  <c r="D2562" i="1"/>
  <c r="A2563" i="1"/>
  <c r="B2563" i="1"/>
  <c r="C2563" i="1"/>
  <c r="D2563" i="1"/>
  <c r="A2564" i="1"/>
  <c r="B2564" i="1"/>
  <c r="C2564" i="1"/>
  <c r="D2564" i="1"/>
  <c r="A2565" i="1"/>
  <c r="B2565" i="1"/>
  <c r="C2565" i="1"/>
  <c r="D2565" i="1"/>
  <c r="A2566" i="1"/>
  <c r="B2566" i="1"/>
  <c r="C2566" i="1"/>
  <c r="D2566" i="1"/>
  <c r="A2567" i="1"/>
  <c r="B2567" i="1"/>
  <c r="C2567" i="1"/>
  <c r="D2567" i="1"/>
  <c r="A2568" i="1"/>
  <c r="B2568" i="1"/>
  <c r="C2568" i="1"/>
  <c r="D2568" i="1"/>
  <c r="A2569" i="1"/>
  <c r="B2569" i="1"/>
  <c r="C2569" i="1"/>
  <c r="D2569" i="1"/>
  <c r="A2570" i="1"/>
  <c r="B2570" i="1"/>
  <c r="C2570" i="1"/>
  <c r="D2570" i="1"/>
  <c r="A2571" i="1"/>
  <c r="B2571" i="1"/>
  <c r="C2571" i="1"/>
  <c r="D2571" i="1"/>
  <c r="A2572" i="1"/>
  <c r="B2572" i="1"/>
  <c r="C2572" i="1"/>
  <c r="D2572" i="1"/>
  <c r="A2573" i="1"/>
  <c r="B2573" i="1"/>
  <c r="C2573" i="1"/>
  <c r="D2573" i="1"/>
  <c r="A2574" i="1"/>
  <c r="B2574" i="1"/>
  <c r="C2574" i="1"/>
  <c r="D2574" i="1"/>
  <c r="A2575" i="1"/>
  <c r="B2575" i="1"/>
  <c r="C2575" i="1"/>
  <c r="D2575" i="1"/>
  <c r="A2576" i="1"/>
  <c r="B2576" i="1"/>
  <c r="C2576" i="1"/>
  <c r="D2576" i="1"/>
  <c r="A2577" i="1"/>
  <c r="B2577" i="1"/>
  <c r="C2577" i="1"/>
  <c r="D2577" i="1"/>
  <c r="A2578" i="1"/>
  <c r="B2578" i="1"/>
  <c r="C2578" i="1"/>
  <c r="D2578" i="1"/>
  <c r="A2579" i="1"/>
  <c r="B2579" i="1"/>
  <c r="C2579" i="1"/>
  <c r="D2579" i="1"/>
  <c r="A2580" i="1"/>
  <c r="B2580" i="1"/>
  <c r="C2580" i="1"/>
  <c r="D2580" i="1"/>
  <c r="A2581" i="1"/>
  <c r="B2581" i="1"/>
  <c r="C2581" i="1"/>
  <c r="D2581" i="1"/>
  <c r="A2582" i="1"/>
  <c r="B2582" i="1"/>
  <c r="C2582" i="1"/>
  <c r="D2582" i="1"/>
  <c r="A2583" i="1"/>
  <c r="B2583" i="1"/>
  <c r="C2583" i="1"/>
  <c r="D2583" i="1"/>
  <c r="A2584" i="1"/>
  <c r="B2584" i="1"/>
  <c r="C2584" i="1"/>
  <c r="D2584" i="1"/>
  <c r="A2585" i="1"/>
  <c r="B2585" i="1"/>
  <c r="C2585" i="1"/>
  <c r="D2585" i="1"/>
  <c r="A2586" i="1"/>
  <c r="B2586" i="1"/>
  <c r="C2586" i="1"/>
  <c r="D2586" i="1"/>
  <c r="A2587" i="1"/>
  <c r="B2587" i="1"/>
  <c r="C2587" i="1"/>
  <c r="D2587" i="1"/>
  <c r="A2588" i="1"/>
  <c r="B2588" i="1"/>
  <c r="C2588" i="1"/>
  <c r="D2588" i="1"/>
  <c r="A2589" i="1"/>
  <c r="B2589" i="1"/>
  <c r="C2589" i="1"/>
  <c r="D2589" i="1"/>
  <c r="A2590" i="1"/>
  <c r="B2590" i="1"/>
  <c r="C2590" i="1"/>
  <c r="D2590" i="1"/>
  <c r="A2591" i="1"/>
  <c r="B2591" i="1"/>
  <c r="C2591" i="1"/>
  <c r="D2591" i="1"/>
  <c r="A2592" i="1"/>
  <c r="B2592" i="1"/>
  <c r="C2592" i="1"/>
  <c r="D2592" i="1"/>
  <c r="A2593" i="1"/>
  <c r="B2593" i="1"/>
  <c r="C2593" i="1"/>
  <c r="D2593" i="1"/>
  <c r="A2594" i="1"/>
  <c r="B2594" i="1"/>
  <c r="C2594" i="1"/>
  <c r="D2594" i="1"/>
  <c r="A2595" i="1"/>
  <c r="B2595" i="1"/>
  <c r="C2595" i="1"/>
  <c r="D2595" i="1"/>
  <c r="A2596" i="1"/>
  <c r="B2596" i="1"/>
  <c r="C2596" i="1"/>
  <c r="D2596" i="1"/>
  <c r="A2597" i="1"/>
  <c r="B2597" i="1"/>
  <c r="C2597" i="1"/>
  <c r="D2597" i="1"/>
  <c r="A2598" i="1"/>
  <c r="B2598" i="1"/>
  <c r="C2598" i="1"/>
  <c r="D2598" i="1"/>
  <c r="A2599" i="1"/>
  <c r="B2599" i="1"/>
  <c r="C2599" i="1"/>
  <c r="D2599" i="1"/>
  <c r="A2600" i="1"/>
  <c r="B2600" i="1"/>
  <c r="C2600" i="1"/>
  <c r="D2600" i="1"/>
  <c r="A2601" i="1"/>
  <c r="B2601" i="1"/>
  <c r="C2601" i="1"/>
  <c r="D2601" i="1"/>
  <c r="A2602" i="1"/>
  <c r="B2602" i="1"/>
  <c r="C2602" i="1"/>
  <c r="D2602" i="1"/>
  <c r="A2603" i="1"/>
  <c r="B2603" i="1"/>
  <c r="C2603" i="1"/>
  <c r="D2603" i="1"/>
  <c r="A2604" i="1"/>
  <c r="B2604" i="1"/>
  <c r="C2604" i="1"/>
  <c r="D2604" i="1"/>
  <c r="A2605" i="1"/>
  <c r="B2605" i="1"/>
  <c r="C2605" i="1"/>
  <c r="D2605" i="1"/>
  <c r="A2606" i="1"/>
  <c r="B2606" i="1"/>
  <c r="C2606" i="1"/>
  <c r="D2606" i="1"/>
  <c r="A2607" i="1"/>
  <c r="B2607" i="1"/>
  <c r="C2607" i="1"/>
  <c r="D2607" i="1"/>
  <c r="A2608" i="1"/>
  <c r="B2608" i="1"/>
  <c r="C2608" i="1"/>
  <c r="D2608" i="1"/>
  <c r="A2609" i="1"/>
  <c r="B2609" i="1"/>
  <c r="C2609" i="1"/>
  <c r="D2609" i="1"/>
  <c r="A2610" i="1"/>
  <c r="B2610" i="1"/>
  <c r="C2610" i="1"/>
  <c r="D2610" i="1"/>
  <c r="A2611" i="1"/>
  <c r="B2611" i="1"/>
  <c r="C2611" i="1"/>
  <c r="D2611" i="1"/>
  <c r="A2612" i="1"/>
  <c r="B2612" i="1"/>
  <c r="C2612" i="1"/>
  <c r="D2612" i="1"/>
  <c r="A2613" i="1"/>
  <c r="B2613" i="1"/>
  <c r="C2613" i="1"/>
  <c r="D2613" i="1"/>
  <c r="A2614" i="1"/>
  <c r="B2614" i="1"/>
  <c r="C2614" i="1"/>
  <c r="D2614" i="1"/>
  <c r="A2615" i="1"/>
  <c r="B2615" i="1"/>
  <c r="C2615" i="1"/>
  <c r="D2615" i="1"/>
  <c r="A2616" i="1"/>
  <c r="B2616" i="1"/>
  <c r="C2616" i="1"/>
  <c r="D2616" i="1"/>
  <c r="A2617" i="1"/>
  <c r="B2617" i="1"/>
  <c r="C2617" i="1"/>
  <c r="D2617" i="1"/>
  <c r="A2618" i="1"/>
  <c r="B2618" i="1"/>
  <c r="C2618" i="1"/>
  <c r="D2618" i="1"/>
  <c r="A2619" i="1"/>
  <c r="B2619" i="1"/>
  <c r="C2619" i="1"/>
  <c r="D2619" i="1"/>
  <c r="A2620" i="1"/>
  <c r="B2620" i="1"/>
  <c r="C2620" i="1"/>
  <c r="D2620" i="1"/>
  <c r="A2621" i="1"/>
  <c r="B2621" i="1"/>
  <c r="C2621" i="1"/>
  <c r="D2621" i="1"/>
  <c r="A2622" i="1"/>
  <c r="B2622" i="1"/>
  <c r="C2622" i="1"/>
  <c r="D2622" i="1"/>
  <c r="A2623" i="1"/>
  <c r="B2623" i="1"/>
  <c r="C2623" i="1"/>
  <c r="D2623" i="1"/>
  <c r="A2624" i="1"/>
  <c r="B2624" i="1"/>
  <c r="C2624" i="1"/>
  <c r="D2624" i="1"/>
  <c r="A2625" i="1"/>
  <c r="B2625" i="1"/>
  <c r="C2625" i="1"/>
  <c r="D2625" i="1"/>
  <c r="A2626" i="1"/>
  <c r="B2626" i="1"/>
  <c r="C2626" i="1"/>
  <c r="D2626" i="1"/>
  <c r="A2627" i="1"/>
  <c r="B2627" i="1"/>
  <c r="C2627" i="1"/>
  <c r="D2627" i="1"/>
  <c r="A2628" i="1"/>
  <c r="B2628" i="1"/>
  <c r="C2628" i="1"/>
  <c r="D2628" i="1"/>
  <c r="A2629" i="1"/>
  <c r="B2629" i="1"/>
  <c r="C2629" i="1"/>
  <c r="D2629" i="1"/>
  <c r="A2630" i="1"/>
  <c r="B2630" i="1"/>
  <c r="C2630" i="1"/>
  <c r="D2630" i="1"/>
  <c r="A2631" i="1"/>
  <c r="B2631" i="1"/>
  <c r="C2631" i="1"/>
  <c r="D2631" i="1"/>
  <c r="A2632" i="1"/>
  <c r="B2632" i="1"/>
  <c r="C2632" i="1"/>
  <c r="D2632" i="1"/>
  <c r="A2633" i="1"/>
  <c r="B2633" i="1"/>
  <c r="C2633" i="1"/>
  <c r="D2633" i="1"/>
  <c r="A2634" i="1"/>
  <c r="B2634" i="1"/>
  <c r="C2634" i="1"/>
  <c r="D2634" i="1"/>
  <c r="A2635" i="1"/>
  <c r="B2635" i="1"/>
  <c r="C2635" i="1"/>
  <c r="D2635" i="1"/>
  <c r="A2636" i="1"/>
  <c r="B2636" i="1"/>
  <c r="C2636" i="1"/>
  <c r="D2636" i="1"/>
  <c r="A2637" i="1"/>
  <c r="B2637" i="1"/>
  <c r="C2637" i="1"/>
  <c r="D2637" i="1"/>
  <c r="A2638" i="1"/>
  <c r="B2638" i="1"/>
  <c r="C2638" i="1"/>
  <c r="D2638" i="1"/>
  <c r="A2639" i="1"/>
  <c r="B2639" i="1"/>
  <c r="C2639" i="1"/>
  <c r="D2639" i="1"/>
  <c r="A2640" i="1"/>
  <c r="B2640" i="1"/>
  <c r="C2640" i="1"/>
  <c r="D2640" i="1"/>
  <c r="A2641" i="1"/>
  <c r="B2641" i="1"/>
  <c r="C2641" i="1"/>
  <c r="D2641" i="1"/>
  <c r="A2642" i="1"/>
  <c r="B2642" i="1"/>
  <c r="C2642" i="1"/>
  <c r="D2642" i="1"/>
  <c r="A2643" i="1"/>
  <c r="B2643" i="1"/>
  <c r="C2643" i="1"/>
  <c r="D2643" i="1"/>
  <c r="A2644" i="1"/>
  <c r="B2644" i="1"/>
  <c r="C2644" i="1"/>
  <c r="D2644" i="1"/>
  <c r="A2645" i="1"/>
  <c r="B2645" i="1"/>
  <c r="C2645" i="1"/>
  <c r="D2645" i="1"/>
  <c r="A2646" i="1"/>
  <c r="B2646" i="1"/>
  <c r="C2646" i="1"/>
  <c r="D2646" i="1"/>
  <c r="A2647" i="1"/>
  <c r="B2647" i="1"/>
  <c r="C2647" i="1"/>
  <c r="D2647" i="1"/>
  <c r="A2648" i="1"/>
  <c r="B2648" i="1"/>
  <c r="C2648" i="1"/>
  <c r="D2648" i="1"/>
  <c r="A2649" i="1"/>
  <c r="B2649" i="1"/>
  <c r="C2649" i="1"/>
  <c r="D2649" i="1"/>
  <c r="A2650" i="1"/>
  <c r="B2650" i="1"/>
  <c r="C2650" i="1"/>
  <c r="D2650" i="1"/>
  <c r="A2651" i="1"/>
  <c r="B2651" i="1"/>
  <c r="C2651" i="1"/>
  <c r="D2651" i="1"/>
  <c r="A2652" i="1"/>
  <c r="B2652" i="1"/>
  <c r="C2652" i="1"/>
  <c r="D2652" i="1"/>
  <c r="A2653" i="1"/>
  <c r="B2653" i="1"/>
  <c r="C2653" i="1"/>
  <c r="D2653" i="1"/>
  <c r="A2654" i="1"/>
  <c r="B2654" i="1"/>
  <c r="C2654" i="1"/>
  <c r="D2654" i="1"/>
  <c r="A2655" i="1"/>
  <c r="B2655" i="1"/>
  <c r="C2655" i="1"/>
  <c r="D2655" i="1"/>
  <c r="A2656" i="1"/>
  <c r="B2656" i="1"/>
  <c r="C2656" i="1"/>
  <c r="D2656" i="1"/>
  <c r="A2657" i="1"/>
  <c r="B2657" i="1"/>
  <c r="C2657" i="1"/>
  <c r="D2657" i="1"/>
  <c r="A2658" i="1"/>
  <c r="B2658" i="1"/>
  <c r="C2658" i="1"/>
  <c r="D2658" i="1"/>
  <c r="A2659" i="1"/>
  <c r="B2659" i="1"/>
  <c r="C2659" i="1"/>
  <c r="D2659" i="1"/>
  <c r="A2660" i="1"/>
  <c r="B2660" i="1"/>
  <c r="C2660" i="1"/>
  <c r="D2660" i="1"/>
  <c r="A2661" i="1"/>
  <c r="B2661" i="1"/>
  <c r="C2661" i="1"/>
  <c r="D2661" i="1"/>
  <c r="A2662" i="1"/>
  <c r="B2662" i="1"/>
  <c r="C2662" i="1"/>
  <c r="D2662" i="1"/>
  <c r="A2663" i="1"/>
  <c r="B2663" i="1"/>
  <c r="C2663" i="1"/>
  <c r="D2663" i="1"/>
  <c r="A2664" i="1"/>
  <c r="B2664" i="1"/>
  <c r="C2664" i="1"/>
  <c r="D2664" i="1"/>
  <c r="A2665" i="1"/>
  <c r="B2665" i="1"/>
  <c r="C2665" i="1"/>
  <c r="D2665" i="1"/>
  <c r="A2666" i="1"/>
  <c r="B2666" i="1"/>
  <c r="C2666" i="1"/>
  <c r="D2666" i="1"/>
  <c r="A2667" i="1"/>
  <c r="B2667" i="1"/>
  <c r="C2667" i="1"/>
  <c r="D2667" i="1"/>
  <c r="A2668" i="1"/>
  <c r="B2668" i="1"/>
  <c r="C2668" i="1"/>
  <c r="D2668" i="1"/>
  <c r="A2669" i="1"/>
  <c r="B2669" i="1"/>
  <c r="C2669" i="1"/>
  <c r="D2669" i="1"/>
  <c r="A2670" i="1"/>
  <c r="B2670" i="1"/>
  <c r="C2670" i="1"/>
  <c r="D2670" i="1"/>
  <c r="A2671" i="1"/>
  <c r="B2671" i="1"/>
  <c r="C2671" i="1"/>
  <c r="D2671" i="1"/>
  <c r="A2672" i="1"/>
  <c r="B2672" i="1"/>
  <c r="C2672" i="1"/>
  <c r="D2672" i="1"/>
  <c r="A2673" i="1"/>
  <c r="B2673" i="1"/>
  <c r="C2673" i="1"/>
  <c r="D2673" i="1"/>
  <c r="A2674" i="1"/>
  <c r="B2674" i="1"/>
  <c r="C2674" i="1"/>
  <c r="D2674" i="1"/>
  <c r="A2675" i="1"/>
  <c r="B2675" i="1"/>
  <c r="C2675" i="1"/>
  <c r="D2675" i="1"/>
  <c r="A2676" i="1"/>
  <c r="B2676" i="1"/>
  <c r="C2676" i="1"/>
  <c r="D2676" i="1"/>
  <c r="A2677" i="1"/>
  <c r="B2677" i="1"/>
  <c r="C2677" i="1"/>
  <c r="D2677" i="1"/>
  <c r="A2678" i="1"/>
  <c r="B2678" i="1"/>
  <c r="C2678" i="1"/>
  <c r="D2678" i="1"/>
  <c r="A2679" i="1"/>
  <c r="B2679" i="1"/>
  <c r="C2679" i="1"/>
  <c r="D2679" i="1"/>
  <c r="A2680" i="1"/>
  <c r="B2680" i="1"/>
  <c r="C2680" i="1"/>
  <c r="D2680" i="1"/>
  <c r="A2681" i="1"/>
  <c r="B2681" i="1"/>
  <c r="C2681" i="1"/>
  <c r="D2681" i="1"/>
  <c r="A2682" i="1"/>
  <c r="B2682" i="1"/>
  <c r="C2682" i="1"/>
  <c r="D2682" i="1"/>
  <c r="A2683" i="1"/>
  <c r="B2683" i="1"/>
  <c r="C2683" i="1"/>
  <c r="D2683" i="1"/>
  <c r="A2684" i="1"/>
  <c r="B2684" i="1"/>
  <c r="C2684" i="1"/>
  <c r="D2684" i="1"/>
  <c r="A2685" i="1"/>
  <c r="B2685" i="1"/>
  <c r="C2685" i="1"/>
  <c r="D2685" i="1"/>
  <c r="A2686" i="1"/>
  <c r="B2686" i="1"/>
  <c r="C2686" i="1"/>
  <c r="D2686" i="1"/>
  <c r="A2687" i="1"/>
  <c r="B2687" i="1"/>
  <c r="C2687" i="1"/>
  <c r="D2687" i="1"/>
  <c r="A2688" i="1"/>
  <c r="B2688" i="1"/>
  <c r="C2688" i="1"/>
  <c r="D2688" i="1"/>
  <c r="A2689" i="1"/>
  <c r="B2689" i="1"/>
  <c r="C2689" i="1"/>
  <c r="D2689" i="1"/>
  <c r="A2690" i="1"/>
  <c r="B2690" i="1"/>
  <c r="C2690" i="1"/>
  <c r="D2690" i="1"/>
  <c r="A2691" i="1"/>
  <c r="B2691" i="1"/>
  <c r="C2691" i="1"/>
  <c r="D2691" i="1"/>
  <c r="A2692" i="1"/>
  <c r="B2692" i="1"/>
  <c r="C2692" i="1"/>
  <c r="D2692" i="1"/>
  <c r="A2693" i="1"/>
  <c r="B2693" i="1"/>
  <c r="C2693" i="1"/>
  <c r="D2693" i="1"/>
  <c r="A2694" i="1"/>
  <c r="B2694" i="1"/>
  <c r="C2694" i="1"/>
  <c r="D2694" i="1"/>
  <c r="A2695" i="1"/>
  <c r="B2695" i="1"/>
  <c r="C2695" i="1"/>
  <c r="D2695" i="1"/>
  <c r="A2696" i="1"/>
  <c r="B2696" i="1"/>
  <c r="C2696" i="1"/>
  <c r="D2696" i="1"/>
  <c r="A2697" i="1"/>
  <c r="B2697" i="1"/>
  <c r="C2697" i="1"/>
  <c r="D2697" i="1"/>
  <c r="A2698" i="1"/>
  <c r="B2698" i="1"/>
  <c r="C2698" i="1"/>
  <c r="D2698" i="1"/>
  <c r="A2699" i="1"/>
  <c r="B2699" i="1"/>
  <c r="C2699" i="1"/>
  <c r="D2699" i="1"/>
  <c r="A2700" i="1"/>
  <c r="B2700" i="1"/>
  <c r="C2700" i="1"/>
  <c r="D2700" i="1"/>
  <c r="A2701" i="1"/>
  <c r="B2701" i="1"/>
  <c r="C2701" i="1"/>
  <c r="D2701" i="1"/>
  <c r="A2702" i="1"/>
  <c r="B2702" i="1"/>
  <c r="C2702" i="1"/>
  <c r="D2702" i="1"/>
  <c r="A2703" i="1"/>
  <c r="B2703" i="1"/>
  <c r="C2703" i="1"/>
  <c r="D2703" i="1"/>
  <c r="A2704" i="1"/>
  <c r="B2704" i="1"/>
  <c r="C2704" i="1"/>
  <c r="D2704" i="1"/>
  <c r="A2705" i="1"/>
  <c r="B2705" i="1"/>
  <c r="C2705" i="1"/>
  <c r="D2705" i="1"/>
  <c r="A2706" i="1"/>
  <c r="B2706" i="1"/>
  <c r="C2706" i="1"/>
  <c r="D2706" i="1"/>
  <c r="A2707" i="1"/>
  <c r="B2707" i="1"/>
  <c r="C2707" i="1"/>
  <c r="D2707" i="1"/>
  <c r="A2708" i="1"/>
  <c r="B2708" i="1"/>
  <c r="C2708" i="1"/>
  <c r="D2708" i="1"/>
  <c r="A2709" i="1"/>
  <c r="B2709" i="1"/>
  <c r="C2709" i="1"/>
  <c r="D2709" i="1"/>
  <c r="A2710" i="1"/>
  <c r="B2710" i="1"/>
  <c r="C2710" i="1"/>
  <c r="D2710" i="1"/>
  <c r="A2711" i="1"/>
  <c r="B2711" i="1"/>
  <c r="C2711" i="1"/>
  <c r="D2711" i="1"/>
  <c r="A2712" i="1"/>
  <c r="B2712" i="1"/>
  <c r="C2712" i="1"/>
  <c r="D2712" i="1"/>
  <c r="A2713" i="1"/>
  <c r="B2713" i="1"/>
  <c r="C2713" i="1"/>
  <c r="D2713" i="1"/>
  <c r="A2714" i="1"/>
  <c r="B2714" i="1"/>
  <c r="C2714" i="1"/>
  <c r="D2714" i="1"/>
  <c r="A2715" i="1"/>
  <c r="B2715" i="1"/>
  <c r="C2715" i="1"/>
  <c r="D2715" i="1"/>
  <c r="A2716" i="1"/>
  <c r="B2716" i="1"/>
  <c r="C2716" i="1"/>
  <c r="D2716" i="1"/>
  <c r="A2717" i="1"/>
  <c r="B2717" i="1"/>
  <c r="C2717" i="1"/>
  <c r="D2717" i="1"/>
  <c r="A2718" i="1"/>
  <c r="B2718" i="1"/>
  <c r="C2718" i="1"/>
  <c r="D2718" i="1"/>
  <c r="A2719" i="1"/>
  <c r="B2719" i="1"/>
  <c r="C2719" i="1"/>
  <c r="D2719" i="1"/>
  <c r="A2720" i="1"/>
  <c r="B2720" i="1"/>
  <c r="C2720" i="1"/>
  <c r="D2720" i="1"/>
  <c r="A2721" i="1"/>
  <c r="B2721" i="1"/>
  <c r="C2721" i="1"/>
  <c r="D2721" i="1"/>
  <c r="A2722" i="1"/>
  <c r="B2722" i="1"/>
  <c r="C2722" i="1"/>
  <c r="D2722" i="1"/>
  <c r="A2723" i="1"/>
  <c r="B2723" i="1"/>
  <c r="C2723" i="1"/>
  <c r="D2723" i="1"/>
  <c r="A2724" i="1"/>
  <c r="B2724" i="1"/>
  <c r="C2724" i="1"/>
  <c r="D2724" i="1"/>
  <c r="A2725" i="1"/>
  <c r="B2725" i="1"/>
  <c r="C2725" i="1"/>
  <c r="D2725" i="1"/>
  <c r="A2726" i="1"/>
  <c r="B2726" i="1"/>
  <c r="C2726" i="1"/>
  <c r="D2726" i="1"/>
  <c r="A2727" i="1"/>
  <c r="B2727" i="1"/>
  <c r="C2727" i="1"/>
  <c r="D2727" i="1"/>
  <c r="A2728" i="1"/>
  <c r="B2728" i="1"/>
  <c r="C2728" i="1"/>
  <c r="D2728" i="1"/>
  <c r="A2729" i="1"/>
  <c r="B2729" i="1"/>
  <c r="C2729" i="1"/>
  <c r="D2729" i="1"/>
  <c r="A2730" i="1"/>
  <c r="B2730" i="1"/>
  <c r="C2730" i="1"/>
  <c r="D2730" i="1"/>
  <c r="A2731" i="1"/>
  <c r="B2731" i="1"/>
  <c r="C2731" i="1"/>
  <c r="D2731" i="1"/>
  <c r="A2732" i="1"/>
  <c r="B2732" i="1"/>
  <c r="C2732" i="1"/>
  <c r="D2732" i="1"/>
  <c r="A2733" i="1"/>
  <c r="B2733" i="1"/>
  <c r="C2733" i="1"/>
  <c r="D2733" i="1"/>
  <c r="A2734" i="1"/>
  <c r="B2734" i="1"/>
  <c r="C2734" i="1"/>
  <c r="D2734" i="1"/>
  <c r="A2735" i="1"/>
  <c r="B2735" i="1"/>
  <c r="C2735" i="1"/>
  <c r="D2735" i="1"/>
  <c r="A2736" i="1"/>
  <c r="B2736" i="1"/>
  <c r="C2736" i="1"/>
  <c r="D2736" i="1"/>
  <c r="A2737" i="1"/>
  <c r="B2737" i="1"/>
  <c r="C2737" i="1"/>
  <c r="D2737" i="1"/>
  <c r="A2738" i="1"/>
  <c r="B2738" i="1"/>
  <c r="C2738" i="1"/>
  <c r="D2738" i="1"/>
  <c r="A2739" i="1"/>
  <c r="B2739" i="1"/>
  <c r="C2739" i="1"/>
  <c r="D2739" i="1"/>
  <c r="A2740" i="1"/>
  <c r="B2740" i="1"/>
  <c r="C2740" i="1"/>
  <c r="D2740" i="1"/>
  <c r="A2741" i="1"/>
  <c r="B2741" i="1"/>
  <c r="C2741" i="1"/>
  <c r="D2741" i="1"/>
  <c r="A2742" i="1"/>
  <c r="B2742" i="1"/>
  <c r="C2742" i="1"/>
  <c r="D2742" i="1"/>
  <c r="A2743" i="1"/>
  <c r="B2743" i="1"/>
  <c r="C2743" i="1"/>
  <c r="D2743" i="1"/>
  <c r="A2744" i="1"/>
  <c r="B2744" i="1"/>
  <c r="C2744" i="1"/>
  <c r="D2744" i="1"/>
  <c r="A2745" i="1"/>
  <c r="B2745" i="1"/>
  <c r="C2745" i="1"/>
  <c r="D2745" i="1"/>
  <c r="A2746" i="1"/>
  <c r="B2746" i="1"/>
  <c r="C2746" i="1"/>
  <c r="D2746" i="1"/>
  <c r="A2747" i="1"/>
  <c r="B2747" i="1"/>
  <c r="C2747" i="1"/>
  <c r="D2747" i="1"/>
  <c r="A2748" i="1"/>
  <c r="B2748" i="1"/>
  <c r="C2748" i="1"/>
  <c r="D2748" i="1"/>
  <c r="A2749" i="1"/>
  <c r="B2749" i="1"/>
  <c r="C2749" i="1"/>
  <c r="D2749" i="1"/>
  <c r="A2750" i="1"/>
  <c r="B2750" i="1"/>
  <c r="C2750" i="1"/>
  <c r="D2750" i="1"/>
  <c r="A2751" i="1"/>
  <c r="B2751" i="1"/>
  <c r="C2751" i="1"/>
  <c r="D2751" i="1"/>
  <c r="A2752" i="1"/>
  <c r="B2752" i="1"/>
  <c r="C2752" i="1"/>
  <c r="D2752" i="1"/>
  <c r="A2753" i="1"/>
  <c r="B2753" i="1"/>
  <c r="C2753" i="1"/>
  <c r="D2753" i="1"/>
  <c r="A2754" i="1"/>
  <c r="B2754" i="1"/>
  <c r="C2754" i="1"/>
  <c r="D2754" i="1"/>
  <c r="A2755" i="1"/>
  <c r="B2755" i="1"/>
  <c r="C2755" i="1"/>
  <c r="D2755" i="1"/>
  <c r="A2756" i="1"/>
  <c r="B2756" i="1"/>
  <c r="C2756" i="1"/>
  <c r="D2756" i="1"/>
  <c r="A2757" i="1"/>
  <c r="B2757" i="1"/>
  <c r="C2757" i="1"/>
  <c r="D2757" i="1"/>
  <c r="A2758" i="1"/>
  <c r="B2758" i="1"/>
  <c r="C2758" i="1"/>
  <c r="D2758" i="1"/>
  <c r="A2759" i="1"/>
  <c r="B2759" i="1"/>
  <c r="C2759" i="1"/>
  <c r="D2759" i="1"/>
  <c r="A2760" i="1"/>
  <c r="B2760" i="1"/>
  <c r="C2760" i="1"/>
  <c r="D2760" i="1"/>
  <c r="A2761" i="1"/>
  <c r="B2761" i="1"/>
  <c r="C2761" i="1"/>
  <c r="D2761" i="1"/>
  <c r="A2762" i="1"/>
  <c r="B2762" i="1"/>
  <c r="C2762" i="1"/>
  <c r="D2762" i="1"/>
  <c r="A2763" i="1"/>
  <c r="B2763" i="1"/>
  <c r="C2763" i="1"/>
  <c r="D2763" i="1"/>
  <c r="A2764" i="1"/>
  <c r="B2764" i="1"/>
  <c r="C2764" i="1"/>
  <c r="D2764" i="1"/>
  <c r="A2765" i="1"/>
  <c r="B2765" i="1"/>
  <c r="C2765" i="1"/>
  <c r="D2765" i="1"/>
  <c r="A2766" i="1"/>
  <c r="B2766" i="1"/>
  <c r="C2766" i="1"/>
  <c r="D2766" i="1"/>
  <c r="A2767" i="1"/>
  <c r="B2767" i="1"/>
  <c r="C2767" i="1"/>
  <c r="D2767" i="1"/>
  <c r="A2768" i="1"/>
  <c r="B2768" i="1"/>
  <c r="C2768" i="1"/>
  <c r="D2768" i="1"/>
  <c r="A2769" i="1"/>
  <c r="B2769" i="1"/>
  <c r="C2769" i="1"/>
  <c r="D2769" i="1"/>
  <c r="A2770" i="1"/>
  <c r="B2770" i="1"/>
  <c r="C2770" i="1"/>
  <c r="D2770" i="1"/>
  <c r="A2771" i="1"/>
  <c r="B2771" i="1"/>
  <c r="C2771" i="1"/>
  <c r="D2771" i="1"/>
  <c r="A2772" i="1"/>
  <c r="B2772" i="1"/>
  <c r="C2772" i="1"/>
  <c r="D2772" i="1"/>
  <c r="A2773" i="1"/>
  <c r="B2773" i="1"/>
  <c r="C2773" i="1"/>
  <c r="D2773" i="1"/>
  <c r="A2774" i="1"/>
  <c r="B2774" i="1"/>
  <c r="C2774" i="1"/>
  <c r="D2774" i="1"/>
  <c r="A2775" i="1"/>
  <c r="B2775" i="1"/>
  <c r="C2775" i="1"/>
  <c r="D2775" i="1"/>
  <c r="A2776" i="1"/>
  <c r="B2776" i="1"/>
  <c r="C2776" i="1"/>
  <c r="D2776" i="1"/>
  <c r="A2777" i="1"/>
  <c r="B2777" i="1"/>
  <c r="C2777" i="1"/>
  <c r="D2777" i="1"/>
  <c r="A2778" i="1"/>
  <c r="B2778" i="1"/>
  <c r="C2778" i="1"/>
  <c r="D2778" i="1"/>
  <c r="A2779" i="1"/>
  <c r="B2779" i="1"/>
  <c r="C2779" i="1"/>
  <c r="D2779" i="1"/>
  <c r="A2780" i="1"/>
  <c r="B2780" i="1"/>
  <c r="C2780" i="1"/>
  <c r="D2780" i="1"/>
  <c r="A2781" i="1"/>
  <c r="B2781" i="1"/>
  <c r="C2781" i="1"/>
  <c r="D2781" i="1"/>
  <c r="A2782" i="1"/>
  <c r="B2782" i="1"/>
  <c r="C2782" i="1"/>
  <c r="D2782" i="1"/>
  <c r="A2783" i="1"/>
  <c r="B2783" i="1"/>
  <c r="C2783" i="1"/>
  <c r="D2783" i="1"/>
  <c r="A2784" i="1"/>
  <c r="B2784" i="1"/>
  <c r="C2784" i="1"/>
  <c r="D2784" i="1"/>
  <c r="A2785" i="1"/>
  <c r="B2785" i="1"/>
  <c r="C2785" i="1"/>
  <c r="D2785" i="1"/>
  <c r="A2786" i="1"/>
  <c r="B2786" i="1"/>
  <c r="C2786" i="1"/>
  <c r="D2786" i="1"/>
  <c r="A2787" i="1"/>
  <c r="B2787" i="1"/>
  <c r="C2787" i="1"/>
  <c r="D2787" i="1"/>
  <c r="A2788" i="1"/>
  <c r="B2788" i="1"/>
  <c r="C2788" i="1"/>
  <c r="D2788" i="1"/>
  <c r="A2789" i="1"/>
  <c r="B2789" i="1"/>
  <c r="C2789" i="1"/>
  <c r="D2789" i="1"/>
  <c r="A2790" i="1"/>
  <c r="B2790" i="1"/>
  <c r="C2790" i="1"/>
  <c r="D2790" i="1"/>
  <c r="A2791" i="1"/>
  <c r="B2791" i="1"/>
  <c r="C2791" i="1"/>
  <c r="D2791" i="1"/>
  <c r="A2792" i="1"/>
  <c r="B2792" i="1"/>
  <c r="C2792" i="1"/>
  <c r="D2792" i="1"/>
  <c r="A2793" i="1"/>
  <c r="B2793" i="1"/>
  <c r="C2793" i="1"/>
  <c r="D2793" i="1"/>
  <c r="A2794" i="1"/>
  <c r="B2794" i="1"/>
  <c r="C2794" i="1"/>
  <c r="D2794" i="1"/>
  <c r="A2795" i="1"/>
  <c r="B2795" i="1"/>
  <c r="C2795" i="1"/>
  <c r="D2795" i="1"/>
  <c r="A2796" i="1"/>
  <c r="B2796" i="1"/>
  <c r="C2796" i="1"/>
  <c r="D2796" i="1"/>
  <c r="A2797" i="1"/>
  <c r="B2797" i="1"/>
  <c r="C2797" i="1"/>
  <c r="D2797" i="1"/>
  <c r="A2798" i="1"/>
  <c r="B2798" i="1"/>
  <c r="C2798" i="1"/>
  <c r="D2798" i="1"/>
  <c r="A2799" i="1"/>
  <c r="B2799" i="1"/>
  <c r="C2799" i="1"/>
  <c r="D2799" i="1"/>
  <c r="A2800" i="1"/>
  <c r="B2800" i="1"/>
  <c r="C2800" i="1"/>
  <c r="D2800" i="1"/>
  <c r="A2801" i="1"/>
  <c r="B2801" i="1"/>
  <c r="C2801" i="1"/>
  <c r="D2801" i="1"/>
  <c r="A2802" i="1"/>
  <c r="B2802" i="1"/>
  <c r="C2802" i="1"/>
  <c r="D2802" i="1"/>
  <c r="A2803" i="1"/>
  <c r="B2803" i="1"/>
  <c r="C2803" i="1"/>
  <c r="D2803" i="1"/>
  <c r="A2804" i="1"/>
  <c r="B2804" i="1"/>
  <c r="C2804" i="1"/>
  <c r="D2804" i="1"/>
  <c r="A2805" i="1"/>
  <c r="B2805" i="1"/>
  <c r="C2805" i="1"/>
  <c r="D2805" i="1"/>
  <c r="A2806" i="1"/>
  <c r="B2806" i="1"/>
  <c r="C2806" i="1"/>
  <c r="D2806" i="1"/>
  <c r="A2807" i="1"/>
  <c r="B2807" i="1"/>
  <c r="C2807" i="1"/>
  <c r="D2807" i="1"/>
  <c r="A2808" i="1"/>
  <c r="B2808" i="1"/>
  <c r="C2808" i="1"/>
  <c r="D2808" i="1"/>
  <c r="A2809" i="1"/>
  <c r="B2809" i="1"/>
  <c r="C2809" i="1"/>
  <c r="D2809" i="1"/>
  <c r="A2810" i="1"/>
  <c r="B2810" i="1"/>
  <c r="C2810" i="1"/>
  <c r="D2810" i="1"/>
  <c r="A2811" i="1"/>
  <c r="B2811" i="1"/>
  <c r="C2811" i="1"/>
  <c r="D2811" i="1"/>
  <c r="A2812" i="1"/>
  <c r="B2812" i="1"/>
  <c r="C2812" i="1"/>
  <c r="D2812" i="1"/>
  <c r="A2813" i="1"/>
  <c r="B2813" i="1"/>
  <c r="C2813" i="1"/>
  <c r="D2813" i="1"/>
  <c r="A2814" i="1"/>
  <c r="B2814" i="1"/>
  <c r="C2814" i="1"/>
  <c r="D2814" i="1"/>
  <c r="A2815" i="1"/>
  <c r="B2815" i="1"/>
  <c r="C2815" i="1"/>
  <c r="D2815" i="1"/>
  <c r="A2816" i="1"/>
  <c r="B2816" i="1"/>
  <c r="C2816" i="1"/>
  <c r="D2816" i="1"/>
  <c r="A2817" i="1"/>
  <c r="B2817" i="1"/>
  <c r="C2817" i="1"/>
  <c r="D2817" i="1"/>
  <c r="A2818" i="1"/>
  <c r="B2818" i="1"/>
  <c r="C2818" i="1"/>
  <c r="D2818" i="1"/>
  <c r="A2819" i="1"/>
  <c r="B2819" i="1"/>
  <c r="C2819" i="1"/>
  <c r="D2819" i="1"/>
  <c r="A2820" i="1"/>
  <c r="B2820" i="1"/>
  <c r="C2820" i="1"/>
  <c r="D2820" i="1"/>
  <c r="A2821" i="1"/>
  <c r="B2821" i="1"/>
  <c r="C2821" i="1"/>
  <c r="D2821" i="1"/>
  <c r="A2822" i="1"/>
  <c r="B2822" i="1"/>
  <c r="C2822" i="1"/>
  <c r="D2822" i="1"/>
  <c r="A2823" i="1"/>
  <c r="B2823" i="1"/>
  <c r="C2823" i="1"/>
  <c r="D2823" i="1"/>
  <c r="A2824" i="1"/>
  <c r="B2824" i="1"/>
  <c r="C2824" i="1"/>
  <c r="D2824" i="1"/>
  <c r="A2825" i="1"/>
  <c r="B2825" i="1"/>
  <c r="C2825" i="1"/>
  <c r="D2825" i="1"/>
  <c r="A2826" i="1"/>
  <c r="B2826" i="1"/>
  <c r="C2826" i="1"/>
  <c r="D2826" i="1"/>
  <c r="A2827" i="1"/>
  <c r="B2827" i="1"/>
  <c r="C2827" i="1"/>
  <c r="D2827" i="1"/>
  <c r="A2828" i="1"/>
  <c r="B2828" i="1"/>
  <c r="C2828" i="1"/>
  <c r="D2828" i="1"/>
  <c r="A2829" i="1"/>
  <c r="B2829" i="1"/>
  <c r="C2829" i="1"/>
  <c r="D2829" i="1"/>
  <c r="A2830" i="1"/>
  <c r="B2830" i="1"/>
  <c r="C2830" i="1"/>
  <c r="D2830" i="1"/>
  <c r="A2831" i="1"/>
  <c r="B2831" i="1"/>
  <c r="C2831" i="1"/>
  <c r="D2831" i="1"/>
  <c r="A2832" i="1"/>
  <c r="B2832" i="1"/>
  <c r="C2832" i="1"/>
  <c r="D2832" i="1"/>
  <c r="A2833" i="1"/>
  <c r="B2833" i="1"/>
  <c r="C2833" i="1"/>
  <c r="D2833" i="1"/>
  <c r="A2834" i="1"/>
  <c r="B2834" i="1"/>
  <c r="C2834" i="1"/>
  <c r="D2834" i="1"/>
  <c r="A2835" i="1"/>
  <c r="B2835" i="1"/>
  <c r="C2835" i="1"/>
  <c r="D2835" i="1"/>
  <c r="A2836" i="1"/>
  <c r="B2836" i="1"/>
  <c r="C2836" i="1"/>
  <c r="D2836" i="1"/>
  <c r="A2837" i="1"/>
  <c r="B2837" i="1"/>
  <c r="C2837" i="1"/>
  <c r="D2837" i="1"/>
  <c r="A2838" i="1"/>
  <c r="B2838" i="1"/>
  <c r="C2838" i="1"/>
  <c r="D2838" i="1"/>
  <c r="A2839" i="1"/>
  <c r="B2839" i="1"/>
  <c r="C2839" i="1"/>
  <c r="D2839" i="1"/>
  <c r="A2840" i="1"/>
  <c r="B2840" i="1"/>
  <c r="C2840" i="1"/>
  <c r="D2840" i="1"/>
  <c r="A2841" i="1"/>
  <c r="B2841" i="1"/>
  <c r="C2841" i="1"/>
  <c r="D2841" i="1"/>
  <c r="A2842" i="1"/>
  <c r="B2842" i="1"/>
  <c r="C2842" i="1"/>
  <c r="D2842" i="1"/>
  <c r="A2843" i="1"/>
  <c r="B2843" i="1"/>
  <c r="C2843" i="1"/>
  <c r="D2843" i="1"/>
  <c r="A2844" i="1"/>
  <c r="B2844" i="1"/>
  <c r="C2844" i="1"/>
  <c r="D2844" i="1"/>
  <c r="A2845" i="1"/>
  <c r="B2845" i="1"/>
  <c r="C2845" i="1"/>
  <c r="D2845" i="1"/>
  <c r="A2846" i="1"/>
  <c r="B2846" i="1"/>
  <c r="C2846" i="1"/>
  <c r="D2846" i="1"/>
  <c r="A2847" i="1"/>
  <c r="B2847" i="1"/>
  <c r="C2847" i="1"/>
  <c r="D2847" i="1"/>
  <c r="A2848" i="1"/>
  <c r="B2848" i="1"/>
  <c r="C2848" i="1"/>
  <c r="D2848" i="1"/>
  <c r="A2849" i="1"/>
  <c r="B2849" i="1"/>
  <c r="C2849" i="1"/>
  <c r="D2849" i="1"/>
  <c r="A2850" i="1"/>
  <c r="B2850" i="1"/>
  <c r="C2850" i="1"/>
  <c r="D2850" i="1"/>
  <c r="A2851" i="1"/>
  <c r="B2851" i="1"/>
  <c r="C2851" i="1"/>
  <c r="D2851" i="1"/>
  <c r="A2852" i="1"/>
  <c r="B2852" i="1"/>
  <c r="C2852" i="1"/>
  <c r="D2852" i="1"/>
  <c r="A2853" i="1"/>
  <c r="B2853" i="1"/>
  <c r="C2853" i="1"/>
  <c r="D2853" i="1"/>
  <c r="A2854" i="1"/>
  <c r="B2854" i="1"/>
  <c r="C2854" i="1"/>
  <c r="D2854" i="1"/>
  <c r="A2855" i="1"/>
  <c r="B2855" i="1"/>
  <c r="C2855" i="1"/>
  <c r="D2855" i="1"/>
  <c r="A2856" i="1"/>
  <c r="B2856" i="1"/>
  <c r="C2856" i="1"/>
  <c r="D2856" i="1"/>
  <c r="A2857" i="1"/>
  <c r="B2857" i="1"/>
  <c r="C2857" i="1"/>
  <c r="D2857" i="1"/>
  <c r="A2858" i="1"/>
  <c r="B2858" i="1"/>
  <c r="C2858" i="1"/>
  <c r="D2858" i="1"/>
  <c r="A2859" i="1"/>
  <c r="B2859" i="1"/>
  <c r="C2859" i="1"/>
  <c r="D2859" i="1"/>
  <c r="A2860" i="1"/>
  <c r="B2860" i="1"/>
  <c r="C2860" i="1"/>
  <c r="D2860" i="1"/>
  <c r="A2861" i="1"/>
  <c r="B2861" i="1"/>
  <c r="C2861" i="1"/>
  <c r="D2861" i="1"/>
  <c r="A2862" i="1"/>
  <c r="B2862" i="1"/>
  <c r="C2862" i="1"/>
  <c r="D2862" i="1"/>
  <c r="A2863" i="1"/>
  <c r="B2863" i="1"/>
  <c r="C2863" i="1"/>
  <c r="D2863" i="1"/>
  <c r="A2864" i="1"/>
  <c r="B2864" i="1"/>
  <c r="C2864" i="1"/>
  <c r="D2864" i="1"/>
  <c r="A2865" i="1"/>
  <c r="B2865" i="1"/>
  <c r="C2865" i="1"/>
  <c r="D2865" i="1"/>
  <c r="A2866" i="1"/>
  <c r="B2866" i="1"/>
  <c r="C2866" i="1"/>
  <c r="D2866" i="1"/>
  <c r="A2867" i="1"/>
  <c r="B2867" i="1"/>
  <c r="C2867" i="1"/>
  <c r="D2867" i="1"/>
  <c r="A2868" i="1"/>
  <c r="B2868" i="1"/>
  <c r="C2868" i="1"/>
  <c r="D2868" i="1"/>
  <c r="A2869" i="1"/>
  <c r="B2869" i="1"/>
  <c r="C2869" i="1"/>
  <c r="D2869" i="1"/>
  <c r="A2870" i="1"/>
  <c r="B2870" i="1"/>
  <c r="C2870" i="1"/>
  <c r="D2870" i="1"/>
  <c r="A2871" i="1"/>
  <c r="B2871" i="1"/>
  <c r="C2871" i="1"/>
  <c r="D2871" i="1"/>
  <c r="A2872" i="1"/>
  <c r="B2872" i="1"/>
  <c r="C2872" i="1"/>
  <c r="D2872" i="1"/>
  <c r="A2873" i="1"/>
  <c r="B2873" i="1"/>
  <c r="C2873" i="1"/>
  <c r="D2873" i="1"/>
  <c r="A2874" i="1"/>
  <c r="B2874" i="1"/>
  <c r="C2874" i="1"/>
  <c r="D2874" i="1"/>
  <c r="A2875" i="1"/>
  <c r="B2875" i="1"/>
  <c r="C2875" i="1"/>
  <c r="D2875" i="1"/>
  <c r="A2876" i="1"/>
  <c r="B2876" i="1"/>
  <c r="C2876" i="1"/>
  <c r="D2876" i="1"/>
  <c r="A2877" i="1"/>
  <c r="B2877" i="1"/>
  <c r="C2877" i="1"/>
  <c r="D2877" i="1"/>
  <c r="A2878" i="1"/>
  <c r="B2878" i="1"/>
  <c r="C2878" i="1"/>
  <c r="D2878" i="1"/>
  <c r="A2879" i="1"/>
  <c r="B2879" i="1"/>
  <c r="C2879" i="1"/>
  <c r="D2879" i="1"/>
  <c r="A2880" i="1"/>
  <c r="B2880" i="1"/>
  <c r="C2880" i="1"/>
  <c r="D2880" i="1"/>
  <c r="A2881" i="1"/>
  <c r="B2881" i="1"/>
  <c r="C2881" i="1"/>
  <c r="D2881" i="1"/>
  <c r="A2882" i="1"/>
  <c r="B2882" i="1"/>
  <c r="C2882" i="1"/>
  <c r="D2882" i="1"/>
  <c r="A2883" i="1"/>
  <c r="B2883" i="1"/>
  <c r="C2883" i="1"/>
  <c r="D2883" i="1"/>
  <c r="A2884" i="1"/>
  <c r="B2884" i="1"/>
  <c r="C2884" i="1"/>
  <c r="D2884" i="1"/>
  <c r="A2885" i="1"/>
  <c r="B2885" i="1"/>
  <c r="C2885" i="1"/>
  <c r="D2885" i="1"/>
  <c r="A2886" i="1"/>
  <c r="B2886" i="1"/>
  <c r="C2886" i="1"/>
  <c r="D2886" i="1"/>
  <c r="A2887" i="1"/>
  <c r="B2887" i="1"/>
  <c r="C2887" i="1"/>
  <c r="D2887" i="1"/>
  <c r="A2888" i="1"/>
  <c r="B2888" i="1"/>
  <c r="C2888" i="1"/>
  <c r="D2888" i="1"/>
  <c r="A2889" i="1"/>
  <c r="B2889" i="1"/>
  <c r="C2889" i="1"/>
  <c r="D2889" i="1"/>
  <c r="A2890" i="1"/>
  <c r="B2890" i="1"/>
  <c r="C2890" i="1"/>
  <c r="D2890" i="1"/>
  <c r="A2891" i="1"/>
  <c r="B2891" i="1"/>
  <c r="C2891" i="1"/>
  <c r="D2891" i="1"/>
  <c r="A2892" i="1"/>
  <c r="B2892" i="1"/>
  <c r="C2892" i="1"/>
  <c r="D2892" i="1"/>
  <c r="A2893" i="1"/>
  <c r="B2893" i="1"/>
  <c r="C2893" i="1"/>
  <c r="D2893" i="1"/>
  <c r="A2894" i="1"/>
  <c r="B2894" i="1"/>
  <c r="C2894" i="1"/>
  <c r="D2894" i="1"/>
  <c r="A2895" i="1"/>
  <c r="B2895" i="1"/>
  <c r="C2895" i="1"/>
  <c r="D2895" i="1"/>
  <c r="A2896" i="1"/>
  <c r="B2896" i="1"/>
  <c r="C2896" i="1"/>
  <c r="D2896" i="1"/>
  <c r="A2897" i="1"/>
  <c r="B2897" i="1"/>
  <c r="C2897" i="1"/>
  <c r="D2897" i="1"/>
  <c r="A2898" i="1"/>
  <c r="B2898" i="1"/>
  <c r="C2898" i="1"/>
  <c r="D2898" i="1"/>
  <c r="A2899" i="1"/>
  <c r="B2899" i="1"/>
  <c r="C2899" i="1"/>
  <c r="D2899" i="1"/>
  <c r="A2900" i="1"/>
  <c r="B2900" i="1"/>
  <c r="C2900" i="1"/>
  <c r="D2900" i="1"/>
  <c r="A2901" i="1"/>
  <c r="B2901" i="1"/>
  <c r="C2901" i="1"/>
  <c r="D2901" i="1"/>
  <c r="A2902" i="1"/>
  <c r="B2902" i="1"/>
  <c r="C2902" i="1"/>
  <c r="D2902" i="1"/>
  <c r="A2903" i="1"/>
  <c r="B2903" i="1"/>
  <c r="C2903" i="1"/>
  <c r="D2903" i="1"/>
  <c r="A2904" i="1"/>
  <c r="B2904" i="1"/>
  <c r="C2904" i="1"/>
  <c r="D2904" i="1"/>
  <c r="A2905" i="1"/>
  <c r="B2905" i="1"/>
  <c r="C2905" i="1"/>
  <c r="D2905" i="1"/>
  <c r="A2906" i="1"/>
  <c r="B2906" i="1"/>
  <c r="C2906" i="1"/>
  <c r="D2906" i="1"/>
  <c r="A2907" i="1"/>
  <c r="B2907" i="1"/>
  <c r="C2907" i="1"/>
  <c r="D2907" i="1"/>
  <c r="A2908" i="1"/>
  <c r="B2908" i="1"/>
  <c r="C2908" i="1"/>
  <c r="D2908" i="1"/>
  <c r="A2909" i="1"/>
  <c r="B2909" i="1"/>
  <c r="C2909" i="1"/>
  <c r="D2909" i="1"/>
  <c r="A2910" i="1"/>
  <c r="B2910" i="1"/>
  <c r="C2910" i="1"/>
  <c r="D2910" i="1"/>
  <c r="A2911" i="1"/>
  <c r="B2911" i="1"/>
  <c r="C2911" i="1"/>
  <c r="D2911" i="1"/>
  <c r="A2912" i="1"/>
  <c r="B2912" i="1"/>
  <c r="C2912" i="1"/>
  <c r="D2912" i="1"/>
  <c r="A2913" i="1"/>
  <c r="B2913" i="1"/>
  <c r="C2913" i="1"/>
  <c r="D2913" i="1"/>
  <c r="A2914" i="1"/>
  <c r="B2914" i="1"/>
  <c r="C2914" i="1"/>
  <c r="D2914" i="1"/>
  <c r="A2915" i="1"/>
  <c r="B2915" i="1"/>
  <c r="C2915" i="1"/>
  <c r="D2915" i="1"/>
  <c r="A2916" i="1"/>
  <c r="B2916" i="1"/>
  <c r="C2916" i="1"/>
  <c r="D2916" i="1"/>
  <c r="A2917" i="1"/>
  <c r="B2917" i="1"/>
  <c r="C2917" i="1"/>
  <c r="D2917" i="1"/>
  <c r="A2918" i="1"/>
  <c r="B2918" i="1"/>
  <c r="C2918" i="1"/>
  <c r="D2918" i="1"/>
  <c r="A2919" i="1"/>
  <c r="B2919" i="1"/>
  <c r="C2919" i="1"/>
  <c r="D2919" i="1"/>
  <c r="A2920" i="1"/>
  <c r="B2920" i="1"/>
  <c r="C2920" i="1"/>
  <c r="D2920" i="1"/>
  <c r="A2921" i="1"/>
  <c r="B2921" i="1"/>
  <c r="C2921" i="1"/>
  <c r="D2921" i="1"/>
  <c r="A2922" i="1"/>
  <c r="B2922" i="1"/>
  <c r="C2922" i="1"/>
  <c r="D2922" i="1"/>
  <c r="A2923" i="1"/>
  <c r="B2923" i="1"/>
  <c r="C2923" i="1"/>
  <c r="D2923" i="1"/>
  <c r="A2924" i="1"/>
  <c r="B2924" i="1"/>
  <c r="C2924" i="1"/>
  <c r="D2924" i="1"/>
  <c r="A2925" i="1"/>
  <c r="B2925" i="1"/>
  <c r="C2925" i="1"/>
  <c r="D2925" i="1"/>
  <c r="A2926" i="1"/>
  <c r="B2926" i="1"/>
  <c r="C2926" i="1"/>
  <c r="D2926" i="1"/>
  <c r="A2927" i="1"/>
  <c r="B2927" i="1"/>
  <c r="C2927" i="1"/>
  <c r="D2927" i="1"/>
  <c r="A2928" i="1"/>
  <c r="B2928" i="1"/>
  <c r="C2928" i="1"/>
  <c r="D2928" i="1"/>
  <c r="A2929" i="1"/>
  <c r="B2929" i="1"/>
  <c r="C2929" i="1"/>
  <c r="D2929" i="1"/>
  <c r="A2930" i="1"/>
  <c r="B2930" i="1"/>
  <c r="C2930" i="1"/>
  <c r="D2930" i="1"/>
  <c r="A2931" i="1"/>
  <c r="B2931" i="1"/>
  <c r="C2931" i="1"/>
  <c r="D2931" i="1"/>
  <c r="A2932" i="1"/>
  <c r="B2932" i="1"/>
  <c r="C2932" i="1"/>
  <c r="D2932" i="1"/>
  <c r="A2933" i="1"/>
  <c r="B2933" i="1"/>
  <c r="C2933" i="1"/>
  <c r="D2933" i="1"/>
  <c r="A2934" i="1"/>
  <c r="B2934" i="1"/>
  <c r="C2934" i="1"/>
  <c r="D2934" i="1"/>
  <c r="A2935" i="1"/>
  <c r="B2935" i="1"/>
  <c r="C2935" i="1"/>
  <c r="D2935" i="1"/>
  <c r="A2936" i="1"/>
  <c r="B2936" i="1"/>
  <c r="C2936" i="1"/>
  <c r="D2936" i="1"/>
  <c r="A2937" i="1"/>
  <c r="B2937" i="1"/>
  <c r="C2937" i="1"/>
  <c r="D2937" i="1"/>
  <c r="A2938" i="1"/>
  <c r="B2938" i="1"/>
  <c r="C2938" i="1"/>
  <c r="D2938" i="1"/>
  <c r="A2939" i="1"/>
  <c r="B2939" i="1"/>
  <c r="C2939" i="1"/>
  <c r="D2939" i="1"/>
  <c r="A2940" i="1"/>
  <c r="B2940" i="1"/>
  <c r="C2940" i="1"/>
  <c r="D2940" i="1"/>
  <c r="A2941" i="1"/>
  <c r="B2941" i="1"/>
  <c r="C2941" i="1"/>
  <c r="D2941" i="1"/>
  <c r="A2942" i="1"/>
  <c r="B2942" i="1"/>
  <c r="C2942" i="1"/>
  <c r="D2942" i="1"/>
  <c r="A2943" i="1"/>
  <c r="B2943" i="1"/>
  <c r="C2943" i="1"/>
  <c r="D2943" i="1"/>
  <c r="A2944" i="1"/>
  <c r="B2944" i="1"/>
  <c r="C2944" i="1"/>
  <c r="D2944" i="1"/>
  <c r="A2945" i="1"/>
  <c r="B2945" i="1"/>
  <c r="C2945" i="1"/>
  <c r="D2945" i="1"/>
  <c r="A2946" i="1"/>
  <c r="B2946" i="1"/>
  <c r="C2946" i="1"/>
  <c r="D2946" i="1"/>
  <c r="A2947" i="1"/>
  <c r="B2947" i="1"/>
  <c r="C2947" i="1"/>
  <c r="D2947" i="1"/>
  <c r="A2948" i="1"/>
  <c r="B2948" i="1"/>
  <c r="C2948" i="1"/>
  <c r="D2948" i="1"/>
  <c r="A2949" i="1"/>
  <c r="B2949" i="1"/>
  <c r="C2949" i="1"/>
  <c r="D2949" i="1"/>
  <c r="A2950" i="1"/>
  <c r="B2950" i="1"/>
  <c r="C2950" i="1"/>
  <c r="D2950" i="1"/>
  <c r="A2951" i="1"/>
  <c r="B2951" i="1"/>
  <c r="C2951" i="1"/>
  <c r="D2951" i="1"/>
  <c r="A2952" i="1"/>
  <c r="B2952" i="1"/>
  <c r="C2952" i="1"/>
  <c r="D2952" i="1"/>
  <c r="A2953" i="1"/>
  <c r="B2953" i="1"/>
  <c r="C2953" i="1"/>
  <c r="D2953" i="1"/>
  <c r="A2954" i="1"/>
  <c r="B2954" i="1"/>
  <c r="C2954" i="1"/>
  <c r="D2954" i="1"/>
  <c r="A2955" i="1"/>
  <c r="B2955" i="1"/>
  <c r="C2955" i="1"/>
  <c r="D2955" i="1"/>
  <c r="A2956" i="1"/>
  <c r="B2956" i="1"/>
  <c r="C2956" i="1"/>
  <c r="D2956" i="1"/>
  <c r="A2957" i="1"/>
  <c r="B2957" i="1"/>
  <c r="C2957" i="1"/>
  <c r="D2957" i="1"/>
  <c r="A2958" i="1"/>
  <c r="B2958" i="1"/>
  <c r="C2958" i="1"/>
  <c r="D2958" i="1"/>
  <c r="A2959" i="1"/>
  <c r="B2959" i="1"/>
  <c r="C2959" i="1"/>
  <c r="D2959" i="1"/>
  <c r="A2960" i="1"/>
  <c r="B2960" i="1"/>
  <c r="C2960" i="1"/>
  <c r="D2960" i="1"/>
  <c r="A2961" i="1"/>
  <c r="B2961" i="1"/>
  <c r="C2961" i="1"/>
  <c r="D2961" i="1"/>
  <c r="A2962" i="1"/>
  <c r="B2962" i="1"/>
  <c r="C2962" i="1"/>
  <c r="D2962" i="1"/>
  <c r="A2963" i="1"/>
  <c r="B2963" i="1"/>
  <c r="C2963" i="1"/>
  <c r="D2963" i="1"/>
  <c r="A2964" i="1"/>
  <c r="B2964" i="1"/>
  <c r="C2964" i="1"/>
  <c r="D2964" i="1"/>
  <c r="A2965" i="1"/>
  <c r="B2965" i="1"/>
  <c r="C2965" i="1"/>
  <c r="D2965" i="1"/>
  <c r="A2966" i="1"/>
  <c r="B2966" i="1"/>
  <c r="C2966" i="1"/>
  <c r="D2966" i="1"/>
  <c r="A2967" i="1"/>
  <c r="B2967" i="1"/>
  <c r="C2967" i="1"/>
  <c r="D2967" i="1"/>
  <c r="A2968" i="1"/>
  <c r="B2968" i="1"/>
  <c r="C2968" i="1"/>
  <c r="D2968" i="1"/>
  <c r="A2969" i="1"/>
  <c r="B2969" i="1"/>
  <c r="C2969" i="1"/>
  <c r="D2969" i="1"/>
  <c r="A2970" i="1"/>
  <c r="B2970" i="1"/>
  <c r="C2970" i="1"/>
  <c r="D2970" i="1"/>
  <c r="A2971" i="1"/>
  <c r="B2971" i="1"/>
  <c r="C2971" i="1"/>
  <c r="D2971" i="1"/>
  <c r="A2972" i="1"/>
  <c r="B2972" i="1"/>
  <c r="C2972" i="1"/>
  <c r="D2972" i="1"/>
  <c r="A2973" i="1"/>
  <c r="B2973" i="1"/>
  <c r="C2973" i="1"/>
  <c r="D2973" i="1"/>
  <c r="A2974" i="1"/>
  <c r="B2974" i="1"/>
  <c r="C2974" i="1"/>
  <c r="D2974" i="1"/>
  <c r="A2975" i="1"/>
  <c r="B2975" i="1"/>
  <c r="C2975" i="1"/>
  <c r="D2975" i="1"/>
  <c r="A2976" i="1"/>
  <c r="B2976" i="1"/>
  <c r="C2976" i="1"/>
  <c r="D2976" i="1"/>
  <c r="A2977" i="1"/>
  <c r="B2977" i="1"/>
  <c r="C2977" i="1"/>
  <c r="D2977" i="1"/>
  <c r="A2978" i="1"/>
  <c r="B2978" i="1"/>
  <c r="C2978" i="1"/>
  <c r="D2978" i="1"/>
  <c r="A2979" i="1"/>
  <c r="B2979" i="1"/>
  <c r="C2979" i="1"/>
  <c r="D2979" i="1"/>
  <c r="A2980" i="1"/>
  <c r="B2980" i="1"/>
  <c r="C2980" i="1"/>
  <c r="D2980" i="1"/>
  <c r="A2981" i="1"/>
  <c r="B2981" i="1"/>
  <c r="C2981" i="1"/>
  <c r="D2981" i="1"/>
  <c r="A2982" i="1"/>
  <c r="B2982" i="1"/>
  <c r="C2982" i="1"/>
  <c r="D2982" i="1"/>
  <c r="A2983" i="1"/>
  <c r="B2983" i="1"/>
  <c r="C2983" i="1"/>
  <c r="D2983" i="1"/>
  <c r="A2984" i="1"/>
  <c r="B2984" i="1"/>
  <c r="C2984" i="1"/>
  <c r="D2984" i="1"/>
  <c r="A2985" i="1"/>
  <c r="B2985" i="1"/>
  <c r="C2985" i="1"/>
  <c r="D2985" i="1"/>
  <c r="A2986" i="1"/>
  <c r="B2986" i="1"/>
  <c r="C2986" i="1"/>
  <c r="D2986" i="1"/>
  <c r="A2987" i="1"/>
  <c r="B2987" i="1"/>
  <c r="C2987" i="1"/>
  <c r="D2987" i="1"/>
  <c r="A2988" i="1"/>
  <c r="B2988" i="1"/>
  <c r="C2988" i="1"/>
  <c r="D2988" i="1"/>
  <c r="A2989" i="1"/>
  <c r="B2989" i="1"/>
  <c r="C2989" i="1"/>
  <c r="D2989" i="1"/>
  <c r="A2990" i="1"/>
  <c r="B2990" i="1"/>
  <c r="C2990" i="1"/>
  <c r="D2990" i="1"/>
  <c r="A2991" i="1"/>
  <c r="B2991" i="1"/>
  <c r="C2991" i="1"/>
  <c r="D2991" i="1"/>
  <c r="A2992" i="1"/>
  <c r="B2992" i="1"/>
  <c r="C2992" i="1"/>
  <c r="D2992" i="1"/>
  <c r="A2993" i="1"/>
  <c r="B2993" i="1"/>
  <c r="C2993" i="1"/>
  <c r="D2993" i="1"/>
  <c r="A2994" i="1"/>
  <c r="B2994" i="1"/>
  <c r="C2994" i="1"/>
  <c r="D2994" i="1"/>
  <c r="A2995" i="1"/>
  <c r="B2995" i="1"/>
  <c r="C2995" i="1"/>
  <c r="D2995" i="1"/>
  <c r="A2996" i="1"/>
  <c r="B2996" i="1"/>
  <c r="C2996" i="1"/>
  <c r="D2996" i="1"/>
  <c r="A2997" i="1"/>
  <c r="B2997" i="1"/>
  <c r="C2997" i="1"/>
  <c r="D2997" i="1"/>
  <c r="A2998" i="1"/>
  <c r="B2998" i="1"/>
  <c r="C2998" i="1"/>
  <c r="D2998" i="1"/>
  <c r="A2999" i="1"/>
  <c r="B2999" i="1"/>
  <c r="C2999" i="1"/>
  <c r="D2999" i="1"/>
  <c r="A3000" i="1"/>
  <c r="B3000" i="1"/>
  <c r="C3000" i="1"/>
  <c r="D3000" i="1"/>
  <c r="A3001" i="1"/>
  <c r="B3001" i="1"/>
  <c r="C3001" i="1"/>
  <c r="D3001" i="1"/>
  <c r="A3002" i="1"/>
  <c r="B3002" i="1"/>
  <c r="C3002" i="1"/>
  <c r="D3002" i="1"/>
  <c r="A3003" i="1"/>
  <c r="B3003" i="1"/>
  <c r="C3003" i="1"/>
  <c r="D3003" i="1"/>
  <c r="A3004" i="1"/>
  <c r="B3004" i="1"/>
  <c r="C3004" i="1"/>
  <c r="D3004" i="1"/>
  <c r="A3005" i="1"/>
  <c r="B3005" i="1"/>
  <c r="C3005" i="1"/>
  <c r="D3005" i="1"/>
  <c r="A3006" i="1"/>
  <c r="B3006" i="1"/>
  <c r="C3006" i="1"/>
  <c r="D3006" i="1"/>
  <c r="A3007" i="1"/>
  <c r="B3007" i="1"/>
  <c r="C3007" i="1"/>
  <c r="D3007" i="1"/>
  <c r="A3008" i="1"/>
  <c r="B3008" i="1"/>
  <c r="C3008" i="1"/>
  <c r="D3008" i="1"/>
  <c r="A3009" i="1"/>
  <c r="B3009" i="1"/>
  <c r="C3009" i="1"/>
  <c r="D3009" i="1"/>
  <c r="A3010" i="1"/>
  <c r="B3010" i="1"/>
  <c r="C3010" i="1"/>
  <c r="D3010" i="1"/>
  <c r="A3011" i="1"/>
  <c r="B3011" i="1"/>
  <c r="C3011" i="1"/>
  <c r="D3011" i="1"/>
  <c r="A3012" i="1"/>
  <c r="B3012" i="1"/>
  <c r="C3012" i="1"/>
  <c r="D3012" i="1"/>
  <c r="A3013" i="1"/>
  <c r="B3013" i="1"/>
  <c r="C3013" i="1"/>
  <c r="D3013" i="1"/>
  <c r="A3014" i="1"/>
  <c r="B3014" i="1"/>
  <c r="C3014" i="1"/>
  <c r="D3014" i="1"/>
  <c r="A3015" i="1"/>
  <c r="B3015" i="1"/>
  <c r="C3015" i="1"/>
  <c r="D3015" i="1"/>
  <c r="A3016" i="1"/>
  <c r="B3016" i="1"/>
  <c r="C3016" i="1"/>
  <c r="D3016" i="1"/>
  <c r="A3017" i="1"/>
  <c r="B3017" i="1"/>
  <c r="C3017" i="1"/>
  <c r="D3017" i="1"/>
  <c r="A3018" i="1"/>
  <c r="B3018" i="1"/>
  <c r="C3018" i="1"/>
  <c r="D3018" i="1"/>
  <c r="A3019" i="1"/>
  <c r="B3019" i="1"/>
  <c r="C3019" i="1"/>
  <c r="D3019" i="1"/>
  <c r="A3020" i="1"/>
  <c r="B3020" i="1"/>
  <c r="C3020" i="1"/>
  <c r="D3020" i="1"/>
  <c r="A3021" i="1"/>
  <c r="B3021" i="1"/>
  <c r="C3021" i="1"/>
  <c r="D3021" i="1"/>
  <c r="A3022" i="1"/>
  <c r="B3022" i="1"/>
  <c r="C3022" i="1"/>
  <c r="D3022" i="1"/>
  <c r="A3023" i="1"/>
  <c r="B3023" i="1"/>
  <c r="C3023" i="1"/>
  <c r="D3023" i="1"/>
  <c r="A3024" i="1"/>
  <c r="B3024" i="1"/>
  <c r="C3024" i="1"/>
  <c r="D3024" i="1"/>
  <c r="A3025" i="1"/>
  <c r="B3025" i="1"/>
  <c r="C3025" i="1"/>
  <c r="D3025" i="1"/>
  <c r="A3026" i="1"/>
  <c r="B3026" i="1"/>
  <c r="C3026" i="1"/>
  <c r="D3026" i="1"/>
  <c r="A3027" i="1"/>
  <c r="B3027" i="1"/>
  <c r="C3027" i="1"/>
  <c r="D3027" i="1"/>
  <c r="A3028" i="1"/>
  <c r="B3028" i="1"/>
  <c r="C3028" i="1"/>
  <c r="D3028" i="1"/>
  <c r="A3029" i="1"/>
  <c r="B3029" i="1"/>
  <c r="C3029" i="1"/>
  <c r="D3029" i="1"/>
  <c r="A3030" i="1"/>
  <c r="B3030" i="1"/>
  <c r="C3030" i="1"/>
  <c r="D3030" i="1"/>
  <c r="A3031" i="1"/>
  <c r="B3031" i="1"/>
  <c r="C3031" i="1"/>
  <c r="D3031" i="1"/>
  <c r="A3032" i="1"/>
  <c r="B3032" i="1"/>
  <c r="C3032" i="1"/>
  <c r="D3032" i="1"/>
  <c r="A3033" i="1"/>
  <c r="B3033" i="1"/>
  <c r="C3033" i="1"/>
  <c r="D3033" i="1"/>
  <c r="A3034" i="1"/>
  <c r="B3034" i="1"/>
  <c r="C3034" i="1"/>
  <c r="D3034" i="1"/>
  <c r="A3035" i="1"/>
  <c r="B3035" i="1"/>
  <c r="C3035" i="1"/>
  <c r="D3035" i="1"/>
  <c r="A3036" i="1"/>
  <c r="B3036" i="1"/>
  <c r="C3036" i="1"/>
  <c r="D3036" i="1"/>
  <c r="A3037" i="1"/>
  <c r="B3037" i="1"/>
  <c r="C3037" i="1"/>
  <c r="D3037" i="1"/>
  <c r="A3038" i="1"/>
  <c r="B3038" i="1"/>
  <c r="C3038" i="1"/>
  <c r="D3038" i="1"/>
  <c r="A3039" i="1"/>
  <c r="B3039" i="1"/>
  <c r="C3039" i="1"/>
  <c r="D3039" i="1"/>
  <c r="A3040" i="1"/>
  <c r="B3040" i="1"/>
  <c r="C3040" i="1"/>
  <c r="D3040" i="1"/>
  <c r="A3041" i="1"/>
  <c r="B3041" i="1"/>
  <c r="C3041" i="1"/>
  <c r="D3041" i="1"/>
  <c r="A3042" i="1"/>
  <c r="B3042" i="1"/>
  <c r="C3042" i="1"/>
  <c r="D3042" i="1"/>
  <c r="A3043" i="1"/>
  <c r="B3043" i="1"/>
  <c r="C3043" i="1"/>
  <c r="D3043" i="1"/>
  <c r="A3044" i="1"/>
  <c r="B3044" i="1"/>
  <c r="C3044" i="1"/>
  <c r="D3044" i="1"/>
  <c r="A3045" i="1"/>
  <c r="B3045" i="1"/>
  <c r="C3045" i="1"/>
  <c r="D3045" i="1"/>
  <c r="A3046" i="1"/>
  <c r="B3046" i="1"/>
  <c r="C3046" i="1"/>
  <c r="D3046" i="1"/>
  <c r="A3047" i="1"/>
  <c r="B3047" i="1"/>
  <c r="C3047" i="1"/>
  <c r="D3047" i="1"/>
  <c r="A3048" i="1"/>
  <c r="B3048" i="1"/>
  <c r="C3048" i="1"/>
  <c r="D3048" i="1"/>
  <c r="A3049" i="1"/>
  <c r="B3049" i="1"/>
  <c r="C3049" i="1"/>
  <c r="D3049" i="1"/>
  <c r="A3050" i="1"/>
  <c r="B3050" i="1"/>
  <c r="C3050" i="1"/>
  <c r="D3050" i="1"/>
  <c r="A3051" i="1"/>
  <c r="B3051" i="1"/>
  <c r="C3051" i="1"/>
  <c r="D3051" i="1"/>
  <c r="A3052" i="1"/>
  <c r="B3052" i="1"/>
  <c r="C3052" i="1"/>
  <c r="D3052" i="1"/>
  <c r="A3053" i="1"/>
  <c r="B3053" i="1"/>
  <c r="C3053" i="1"/>
  <c r="D3053" i="1"/>
  <c r="A3054" i="1"/>
  <c r="B3054" i="1"/>
  <c r="C3054" i="1"/>
  <c r="D3054" i="1"/>
  <c r="A3055" i="1"/>
  <c r="B3055" i="1"/>
  <c r="C3055" i="1"/>
  <c r="D3055" i="1"/>
  <c r="A3056" i="1"/>
  <c r="B3056" i="1"/>
  <c r="C3056" i="1"/>
  <c r="D3056" i="1"/>
  <c r="A3057" i="1"/>
  <c r="B3057" i="1"/>
  <c r="C3057" i="1"/>
  <c r="D3057" i="1"/>
  <c r="A3058" i="1"/>
  <c r="B3058" i="1"/>
  <c r="C3058" i="1"/>
  <c r="D3058" i="1"/>
  <c r="A3059" i="1"/>
  <c r="B3059" i="1"/>
  <c r="C3059" i="1"/>
  <c r="D3059" i="1"/>
  <c r="A3060" i="1"/>
  <c r="B3060" i="1"/>
  <c r="C3060" i="1"/>
  <c r="D3060" i="1"/>
  <c r="A3061" i="1"/>
  <c r="B3061" i="1"/>
  <c r="C3061" i="1"/>
  <c r="D3061" i="1"/>
  <c r="A3062" i="1"/>
  <c r="B3062" i="1"/>
  <c r="C3062" i="1"/>
  <c r="D3062" i="1"/>
  <c r="A3063" i="1"/>
  <c r="B3063" i="1"/>
  <c r="C3063" i="1"/>
  <c r="D3063" i="1"/>
  <c r="A3064" i="1"/>
  <c r="B3064" i="1"/>
  <c r="C3064" i="1"/>
  <c r="D3064" i="1"/>
  <c r="A3065" i="1"/>
  <c r="B3065" i="1"/>
  <c r="C3065" i="1"/>
  <c r="D3065" i="1"/>
  <c r="A3066" i="1"/>
  <c r="B3066" i="1"/>
  <c r="C3066" i="1"/>
  <c r="D3066" i="1"/>
  <c r="A3067" i="1"/>
  <c r="B3067" i="1"/>
  <c r="C3067" i="1"/>
  <c r="D3067" i="1"/>
  <c r="A3068" i="1"/>
  <c r="B3068" i="1"/>
  <c r="C3068" i="1"/>
  <c r="D3068" i="1"/>
  <c r="A3069" i="1"/>
  <c r="B3069" i="1"/>
  <c r="C3069" i="1"/>
  <c r="D3069" i="1"/>
  <c r="A3070" i="1"/>
  <c r="B3070" i="1"/>
  <c r="C3070" i="1"/>
  <c r="D3070" i="1"/>
  <c r="A3071" i="1"/>
  <c r="B3071" i="1"/>
  <c r="C3071" i="1"/>
  <c r="D3071" i="1"/>
  <c r="A3072" i="1"/>
  <c r="B3072" i="1"/>
  <c r="C3072" i="1"/>
  <c r="D3072" i="1"/>
  <c r="A3073" i="1"/>
  <c r="B3073" i="1"/>
  <c r="C3073" i="1"/>
  <c r="D3073" i="1"/>
  <c r="A3074" i="1"/>
  <c r="B3074" i="1"/>
  <c r="C3074" i="1"/>
  <c r="D3074" i="1"/>
  <c r="A3075" i="1"/>
  <c r="B3075" i="1"/>
  <c r="C3075" i="1"/>
  <c r="D3075" i="1"/>
  <c r="A3076" i="1"/>
  <c r="B3076" i="1"/>
  <c r="C3076" i="1"/>
  <c r="D3076" i="1"/>
  <c r="A3077" i="1"/>
  <c r="B3077" i="1"/>
  <c r="C3077" i="1"/>
  <c r="D3077" i="1"/>
  <c r="A3078" i="1"/>
  <c r="B3078" i="1"/>
  <c r="C3078" i="1"/>
  <c r="D3078" i="1"/>
  <c r="A3079" i="1"/>
  <c r="B3079" i="1"/>
  <c r="C3079" i="1"/>
  <c r="D3079" i="1"/>
  <c r="A3080" i="1"/>
  <c r="B3080" i="1"/>
  <c r="C3080" i="1"/>
  <c r="D3080" i="1"/>
  <c r="A3081" i="1"/>
  <c r="B3081" i="1"/>
  <c r="C3081" i="1"/>
  <c r="D3081" i="1"/>
  <c r="A3082" i="1"/>
  <c r="B3082" i="1"/>
  <c r="C3082" i="1"/>
  <c r="D3082" i="1"/>
  <c r="A3083" i="1"/>
  <c r="B3083" i="1"/>
  <c r="C3083" i="1"/>
  <c r="D3083" i="1"/>
  <c r="A3084" i="1"/>
  <c r="B3084" i="1"/>
  <c r="C3084" i="1"/>
  <c r="D3084" i="1"/>
  <c r="A3085" i="1"/>
  <c r="B3085" i="1"/>
  <c r="C3085" i="1"/>
  <c r="D3085" i="1"/>
  <c r="A3086" i="1"/>
  <c r="B3086" i="1"/>
  <c r="C3086" i="1"/>
  <c r="D3086" i="1"/>
  <c r="A3087" i="1"/>
  <c r="B3087" i="1"/>
  <c r="C3087" i="1"/>
  <c r="D3087" i="1"/>
  <c r="A3088" i="1"/>
  <c r="B3088" i="1"/>
  <c r="C3088" i="1"/>
  <c r="D3088" i="1"/>
  <c r="A3089" i="1"/>
  <c r="B3089" i="1"/>
  <c r="C3089" i="1"/>
  <c r="D3089" i="1"/>
  <c r="A3090" i="1"/>
  <c r="B3090" i="1"/>
  <c r="C3090" i="1"/>
  <c r="D3090" i="1"/>
  <c r="A3091" i="1"/>
  <c r="B3091" i="1"/>
  <c r="C3091" i="1"/>
  <c r="D3091" i="1"/>
  <c r="A3092" i="1"/>
  <c r="B3092" i="1"/>
  <c r="C3092" i="1"/>
  <c r="D3092" i="1"/>
  <c r="A3093" i="1"/>
  <c r="B3093" i="1"/>
  <c r="C3093" i="1"/>
  <c r="D3093" i="1"/>
  <c r="A3094" i="1"/>
  <c r="B3094" i="1"/>
  <c r="C3094" i="1"/>
  <c r="D3094" i="1"/>
  <c r="A3095" i="1"/>
  <c r="B3095" i="1"/>
  <c r="C3095" i="1"/>
  <c r="D3095" i="1"/>
  <c r="A3096" i="1"/>
  <c r="B3096" i="1"/>
  <c r="C3096" i="1"/>
  <c r="D3096" i="1"/>
  <c r="A3097" i="1"/>
  <c r="B3097" i="1"/>
  <c r="C3097" i="1"/>
  <c r="D3097" i="1"/>
  <c r="A3098" i="1"/>
  <c r="B3098" i="1"/>
  <c r="C3098" i="1"/>
  <c r="D3098" i="1"/>
  <c r="A3099" i="1"/>
  <c r="B3099" i="1"/>
  <c r="C3099" i="1"/>
  <c r="D3099" i="1"/>
  <c r="A3100" i="1"/>
  <c r="B3100" i="1"/>
  <c r="C3100" i="1"/>
  <c r="D3100" i="1"/>
  <c r="A3101" i="1"/>
  <c r="B3101" i="1"/>
  <c r="C3101" i="1"/>
  <c r="D3101" i="1"/>
  <c r="A3102" i="1"/>
  <c r="B3102" i="1"/>
  <c r="C3102" i="1"/>
  <c r="D3102" i="1"/>
  <c r="A3103" i="1"/>
  <c r="B3103" i="1"/>
  <c r="C3103" i="1"/>
  <c r="D3103" i="1"/>
  <c r="A3104" i="1"/>
  <c r="B3104" i="1"/>
  <c r="C3104" i="1"/>
  <c r="D3104" i="1"/>
  <c r="A3105" i="1"/>
  <c r="B3105" i="1"/>
  <c r="C3105" i="1"/>
  <c r="D3105" i="1"/>
  <c r="A3106" i="1"/>
  <c r="B3106" i="1"/>
  <c r="C3106" i="1"/>
  <c r="D3106" i="1"/>
  <c r="A3107" i="1"/>
  <c r="B3107" i="1"/>
  <c r="C3107" i="1"/>
  <c r="D3107" i="1"/>
  <c r="A3108" i="1"/>
  <c r="B3108" i="1"/>
  <c r="C3108" i="1"/>
  <c r="D3108" i="1"/>
  <c r="A3109" i="1"/>
  <c r="B3109" i="1"/>
  <c r="C3109" i="1"/>
  <c r="D3109" i="1"/>
  <c r="A3110" i="1"/>
  <c r="B3110" i="1"/>
  <c r="C3110" i="1"/>
  <c r="D3110" i="1"/>
  <c r="A3111" i="1"/>
  <c r="B3111" i="1"/>
  <c r="C3111" i="1"/>
  <c r="D3111" i="1"/>
  <c r="A3112" i="1"/>
  <c r="B3112" i="1"/>
  <c r="C3112" i="1"/>
  <c r="D3112" i="1"/>
  <c r="A3113" i="1"/>
  <c r="B3113" i="1"/>
  <c r="C3113" i="1"/>
  <c r="D3113" i="1"/>
  <c r="A3114" i="1"/>
  <c r="B3114" i="1"/>
  <c r="C3114" i="1"/>
  <c r="D3114" i="1"/>
  <c r="A3115" i="1"/>
  <c r="B3115" i="1"/>
  <c r="C3115" i="1"/>
  <c r="D3115" i="1"/>
  <c r="A3116" i="1"/>
  <c r="B3116" i="1"/>
  <c r="C3116" i="1"/>
  <c r="D3116" i="1"/>
  <c r="A3117" i="1"/>
  <c r="B3117" i="1"/>
  <c r="C3117" i="1"/>
  <c r="D3117" i="1"/>
  <c r="A3118" i="1"/>
  <c r="B3118" i="1"/>
  <c r="C3118" i="1"/>
  <c r="D3118" i="1"/>
  <c r="A3119" i="1"/>
  <c r="B3119" i="1"/>
  <c r="C3119" i="1"/>
  <c r="D3119" i="1"/>
  <c r="A3120" i="1"/>
  <c r="B3120" i="1"/>
  <c r="C3120" i="1"/>
  <c r="D3120" i="1"/>
  <c r="A3121" i="1"/>
  <c r="B3121" i="1"/>
  <c r="C3121" i="1"/>
  <c r="D3121" i="1"/>
  <c r="A3122" i="1"/>
  <c r="B3122" i="1"/>
  <c r="C3122" i="1"/>
  <c r="D3122" i="1"/>
  <c r="A3123" i="1"/>
  <c r="B3123" i="1"/>
  <c r="C3123" i="1"/>
  <c r="D3123" i="1"/>
  <c r="A3124" i="1"/>
  <c r="B3124" i="1"/>
  <c r="C3124" i="1"/>
  <c r="D3124" i="1"/>
  <c r="A3125" i="1"/>
  <c r="B3125" i="1"/>
  <c r="C3125" i="1"/>
  <c r="D3125" i="1"/>
  <c r="A3126" i="1"/>
  <c r="B3126" i="1"/>
  <c r="C3126" i="1"/>
  <c r="D3126" i="1"/>
  <c r="A3127" i="1"/>
  <c r="B3127" i="1"/>
  <c r="C3127" i="1"/>
  <c r="D3127" i="1"/>
  <c r="A3128" i="1"/>
  <c r="B3128" i="1"/>
  <c r="C3128" i="1"/>
  <c r="D3128" i="1"/>
  <c r="A3129" i="1"/>
  <c r="B3129" i="1"/>
  <c r="C3129" i="1"/>
  <c r="D3129" i="1"/>
  <c r="A3130" i="1"/>
  <c r="B3130" i="1"/>
  <c r="C3130" i="1"/>
  <c r="D3130" i="1"/>
  <c r="A3131" i="1"/>
  <c r="B3131" i="1"/>
  <c r="C3131" i="1"/>
  <c r="D3131" i="1"/>
  <c r="A3132" i="1"/>
  <c r="B3132" i="1"/>
  <c r="C3132" i="1"/>
  <c r="D3132" i="1"/>
  <c r="A3133" i="1"/>
  <c r="B3133" i="1"/>
  <c r="C3133" i="1"/>
  <c r="D3133" i="1"/>
  <c r="A3134" i="1"/>
  <c r="B3134" i="1"/>
  <c r="C3134" i="1"/>
  <c r="D3134" i="1"/>
  <c r="A3135" i="1"/>
  <c r="B3135" i="1"/>
  <c r="C3135" i="1"/>
  <c r="D3135" i="1"/>
  <c r="A3136" i="1"/>
  <c r="B3136" i="1"/>
  <c r="C3136" i="1"/>
  <c r="D3136" i="1"/>
  <c r="A3137" i="1"/>
  <c r="B3137" i="1"/>
  <c r="C3137" i="1"/>
  <c r="D3137" i="1"/>
  <c r="A3138" i="1"/>
  <c r="B3138" i="1"/>
  <c r="C3138" i="1"/>
  <c r="D3138" i="1"/>
  <c r="A3139" i="1"/>
  <c r="B3139" i="1"/>
  <c r="C3139" i="1"/>
  <c r="D3139" i="1"/>
  <c r="A3140" i="1"/>
  <c r="B3140" i="1"/>
  <c r="C3140" i="1"/>
  <c r="D3140" i="1"/>
  <c r="A3141" i="1"/>
  <c r="B3141" i="1"/>
  <c r="C3141" i="1"/>
  <c r="D3141" i="1"/>
  <c r="A3142" i="1"/>
  <c r="B3142" i="1"/>
  <c r="C3142" i="1"/>
  <c r="D3142" i="1"/>
  <c r="A3143" i="1"/>
  <c r="B3143" i="1"/>
  <c r="C3143" i="1"/>
  <c r="D3143" i="1"/>
  <c r="A3144" i="1"/>
  <c r="B3144" i="1"/>
  <c r="C3144" i="1"/>
  <c r="D3144" i="1"/>
  <c r="A3145" i="1"/>
  <c r="B3145" i="1"/>
  <c r="C3145" i="1"/>
  <c r="D3145" i="1"/>
  <c r="A3146" i="1"/>
  <c r="B3146" i="1"/>
  <c r="C3146" i="1"/>
  <c r="D3146" i="1"/>
  <c r="A3147" i="1"/>
  <c r="B3147" i="1"/>
  <c r="C3147" i="1"/>
  <c r="D3147" i="1"/>
  <c r="A3148" i="1"/>
  <c r="B3148" i="1"/>
  <c r="C3148" i="1"/>
  <c r="D3148" i="1"/>
  <c r="A3149" i="1"/>
  <c r="B3149" i="1"/>
  <c r="C3149" i="1"/>
  <c r="D3149" i="1"/>
  <c r="A3150" i="1"/>
  <c r="B3150" i="1"/>
  <c r="C3150" i="1"/>
  <c r="D3150" i="1"/>
  <c r="A3151" i="1"/>
  <c r="B3151" i="1"/>
  <c r="C3151" i="1"/>
  <c r="D3151" i="1"/>
  <c r="A3152" i="1"/>
  <c r="B3152" i="1"/>
  <c r="C3152" i="1"/>
  <c r="D3152" i="1"/>
  <c r="A3153" i="1"/>
  <c r="B3153" i="1"/>
  <c r="C3153" i="1"/>
  <c r="D3153" i="1"/>
  <c r="A3154" i="1"/>
  <c r="B3154" i="1"/>
  <c r="C3154" i="1"/>
  <c r="D3154" i="1"/>
  <c r="A3155" i="1"/>
  <c r="B3155" i="1"/>
  <c r="C3155" i="1"/>
  <c r="D3155" i="1"/>
  <c r="A3156" i="1"/>
  <c r="B3156" i="1"/>
  <c r="C3156" i="1"/>
  <c r="D3156" i="1"/>
  <c r="A3157" i="1"/>
  <c r="B3157" i="1"/>
  <c r="C3157" i="1"/>
  <c r="D3157" i="1"/>
  <c r="A3158" i="1"/>
  <c r="B3158" i="1"/>
  <c r="C3158" i="1"/>
  <c r="D3158" i="1"/>
  <c r="A3159" i="1"/>
  <c r="B3159" i="1"/>
  <c r="C3159" i="1"/>
  <c r="D3159" i="1"/>
  <c r="A3160" i="1"/>
  <c r="B3160" i="1"/>
  <c r="C3160" i="1"/>
  <c r="D3160" i="1"/>
  <c r="A3161" i="1"/>
  <c r="B3161" i="1"/>
  <c r="C3161" i="1"/>
  <c r="D3161" i="1"/>
  <c r="A3162" i="1"/>
  <c r="B3162" i="1"/>
  <c r="C3162" i="1"/>
  <c r="D3162" i="1"/>
  <c r="A3163" i="1"/>
  <c r="B3163" i="1"/>
  <c r="C3163" i="1"/>
  <c r="D3163" i="1"/>
  <c r="A3164" i="1"/>
  <c r="B3164" i="1"/>
  <c r="C3164" i="1"/>
  <c r="D3164" i="1"/>
  <c r="A3165" i="1"/>
  <c r="B3165" i="1"/>
  <c r="C3165" i="1"/>
  <c r="D3165" i="1"/>
  <c r="A3166" i="1"/>
  <c r="B3166" i="1"/>
  <c r="C3166" i="1"/>
  <c r="D3166" i="1"/>
  <c r="A3167" i="1"/>
  <c r="B3167" i="1"/>
  <c r="C3167" i="1"/>
  <c r="D3167" i="1"/>
  <c r="A3168" i="1"/>
  <c r="B3168" i="1"/>
  <c r="C3168" i="1"/>
  <c r="D3168" i="1"/>
  <c r="A3169" i="1"/>
  <c r="B3169" i="1"/>
  <c r="C3169" i="1"/>
  <c r="D3169" i="1"/>
  <c r="A3170" i="1"/>
  <c r="B3170" i="1"/>
  <c r="C3170" i="1"/>
  <c r="D3170" i="1"/>
  <c r="A3171" i="1"/>
  <c r="B3171" i="1"/>
  <c r="C3171" i="1"/>
  <c r="D3171" i="1"/>
  <c r="A3172" i="1"/>
  <c r="B3172" i="1"/>
  <c r="C3172" i="1"/>
  <c r="D3172" i="1"/>
  <c r="A3173" i="1"/>
  <c r="B3173" i="1"/>
  <c r="C3173" i="1"/>
  <c r="D3173" i="1"/>
  <c r="A3174" i="1"/>
  <c r="B3174" i="1"/>
  <c r="C3174" i="1"/>
  <c r="D3174" i="1"/>
  <c r="A3175" i="1"/>
  <c r="B3175" i="1"/>
  <c r="C3175" i="1"/>
  <c r="D3175" i="1"/>
  <c r="A3176" i="1"/>
  <c r="B3176" i="1"/>
  <c r="C3176" i="1"/>
  <c r="D3176" i="1"/>
  <c r="A3177" i="1"/>
  <c r="B3177" i="1"/>
  <c r="C3177" i="1"/>
  <c r="D3177" i="1"/>
  <c r="A3178" i="1"/>
  <c r="B3178" i="1"/>
  <c r="C3178" i="1"/>
  <c r="D3178" i="1"/>
  <c r="A3179" i="1"/>
  <c r="B3179" i="1"/>
  <c r="C3179" i="1"/>
  <c r="D3179" i="1"/>
  <c r="A3180" i="1"/>
  <c r="B3180" i="1"/>
  <c r="C3180" i="1"/>
  <c r="D3180" i="1"/>
  <c r="A3181" i="1"/>
  <c r="B3181" i="1"/>
  <c r="C3181" i="1"/>
  <c r="D3181" i="1"/>
  <c r="A3182" i="1"/>
  <c r="B3182" i="1"/>
  <c r="C3182" i="1"/>
  <c r="D3182" i="1"/>
  <c r="A3183" i="1"/>
  <c r="B3183" i="1"/>
  <c r="C3183" i="1"/>
  <c r="D3183" i="1"/>
  <c r="A3184" i="1"/>
  <c r="B3184" i="1"/>
  <c r="C3184" i="1"/>
  <c r="D3184" i="1"/>
  <c r="A3185" i="1"/>
  <c r="B3185" i="1"/>
  <c r="C3185" i="1"/>
  <c r="D3185" i="1"/>
  <c r="A3186" i="1"/>
  <c r="B3186" i="1"/>
  <c r="C3186" i="1"/>
  <c r="D3186" i="1"/>
  <c r="A3187" i="1"/>
  <c r="B3187" i="1"/>
  <c r="C3187" i="1"/>
  <c r="D3187" i="1"/>
  <c r="A3188" i="1"/>
  <c r="B3188" i="1"/>
  <c r="C3188" i="1"/>
  <c r="D3188" i="1"/>
  <c r="A3189" i="1"/>
  <c r="B3189" i="1"/>
  <c r="C3189" i="1"/>
  <c r="D3189" i="1"/>
  <c r="A3190" i="1"/>
  <c r="B3190" i="1"/>
  <c r="C3190" i="1"/>
  <c r="D3190" i="1"/>
  <c r="A3191" i="1"/>
  <c r="B3191" i="1"/>
  <c r="C3191" i="1"/>
  <c r="D3191" i="1"/>
  <c r="A3192" i="1"/>
  <c r="B3192" i="1"/>
  <c r="C3192" i="1"/>
  <c r="D3192" i="1"/>
  <c r="A3193" i="1"/>
  <c r="B3193" i="1"/>
  <c r="C3193" i="1"/>
  <c r="D3193" i="1"/>
  <c r="A3194" i="1"/>
  <c r="B3194" i="1"/>
  <c r="C3194" i="1"/>
  <c r="D3194" i="1"/>
  <c r="A3195" i="1"/>
  <c r="B3195" i="1"/>
  <c r="C3195" i="1"/>
  <c r="D3195" i="1"/>
  <c r="A3196" i="1"/>
  <c r="B3196" i="1"/>
  <c r="C3196" i="1"/>
  <c r="D3196" i="1"/>
  <c r="A3197" i="1"/>
  <c r="B3197" i="1"/>
  <c r="C3197" i="1"/>
  <c r="D3197" i="1"/>
  <c r="A3198" i="1"/>
  <c r="B3198" i="1"/>
  <c r="C3198" i="1"/>
  <c r="D3198" i="1"/>
  <c r="A3199" i="1"/>
  <c r="B3199" i="1"/>
  <c r="C3199" i="1"/>
  <c r="D3199" i="1"/>
  <c r="A3200" i="1"/>
  <c r="B3200" i="1"/>
  <c r="C3200" i="1"/>
  <c r="D3200" i="1"/>
  <c r="A3201" i="1"/>
  <c r="B3201" i="1"/>
  <c r="C3201" i="1"/>
  <c r="D3201" i="1"/>
  <c r="A3202" i="1"/>
  <c r="B3202" i="1"/>
  <c r="C3202" i="1"/>
  <c r="D3202" i="1"/>
  <c r="A3203" i="1"/>
  <c r="B3203" i="1"/>
  <c r="C3203" i="1"/>
  <c r="D3203" i="1"/>
  <c r="A3204" i="1"/>
  <c r="B3204" i="1"/>
  <c r="C3204" i="1"/>
  <c r="D3204" i="1"/>
  <c r="A3205" i="1"/>
  <c r="B3205" i="1"/>
  <c r="C3205" i="1"/>
  <c r="D3205" i="1"/>
  <c r="A3206" i="1"/>
  <c r="B3206" i="1"/>
  <c r="C3206" i="1"/>
  <c r="D3206" i="1"/>
  <c r="A3207" i="1"/>
  <c r="B3207" i="1"/>
  <c r="C3207" i="1"/>
  <c r="D3207" i="1"/>
  <c r="A3208" i="1"/>
  <c r="B3208" i="1"/>
  <c r="C3208" i="1"/>
  <c r="D3208" i="1"/>
  <c r="A3209" i="1"/>
  <c r="B3209" i="1"/>
  <c r="C3209" i="1"/>
  <c r="D3209" i="1"/>
  <c r="A3210" i="1"/>
  <c r="B3210" i="1"/>
  <c r="C3210" i="1"/>
  <c r="D3210" i="1"/>
  <c r="A3211" i="1"/>
  <c r="B3211" i="1"/>
  <c r="C3211" i="1"/>
  <c r="D3211" i="1"/>
  <c r="A3212" i="1"/>
  <c r="B3212" i="1"/>
  <c r="C3212" i="1"/>
  <c r="D3212" i="1"/>
  <c r="A3213" i="1"/>
  <c r="B3213" i="1"/>
  <c r="C3213" i="1"/>
  <c r="D3213" i="1"/>
  <c r="A3214" i="1"/>
  <c r="B3214" i="1"/>
  <c r="C3214" i="1"/>
  <c r="D3214" i="1"/>
  <c r="A3215" i="1"/>
  <c r="B3215" i="1"/>
  <c r="C3215" i="1"/>
  <c r="D3215" i="1"/>
  <c r="A3216" i="1"/>
  <c r="B3216" i="1"/>
  <c r="C3216" i="1"/>
  <c r="D3216" i="1"/>
  <c r="A3217" i="1"/>
  <c r="B3217" i="1"/>
  <c r="C3217" i="1"/>
  <c r="D3217" i="1"/>
  <c r="A3218" i="1"/>
  <c r="B3218" i="1"/>
  <c r="C3218" i="1"/>
  <c r="D3218" i="1"/>
  <c r="A3219" i="1"/>
  <c r="B3219" i="1"/>
  <c r="C3219" i="1"/>
  <c r="D3219" i="1"/>
  <c r="A3220" i="1"/>
  <c r="B3220" i="1"/>
  <c r="C3220" i="1"/>
  <c r="D3220" i="1"/>
  <c r="A3221" i="1"/>
  <c r="B3221" i="1"/>
  <c r="C3221" i="1"/>
  <c r="D3221" i="1"/>
  <c r="A3222" i="1"/>
  <c r="B3222" i="1"/>
  <c r="C3222" i="1"/>
  <c r="D3222" i="1"/>
  <c r="A3223" i="1"/>
  <c r="B3223" i="1"/>
  <c r="C3223" i="1"/>
  <c r="D3223" i="1"/>
  <c r="A3224" i="1"/>
  <c r="B3224" i="1"/>
  <c r="C3224" i="1"/>
  <c r="D3224" i="1"/>
  <c r="A3225" i="1"/>
  <c r="B3225" i="1"/>
  <c r="C3225" i="1"/>
  <c r="D3225" i="1"/>
  <c r="A3226" i="1"/>
  <c r="B3226" i="1"/>
  <c r="C3226" i="1"/>
  <c r="D3226" i="1"/>
  <c r="A3227" i="1"/>
  <c r="B3227" i="1"/>
  <c r="C3227" i="1"/>
  <c r="D3227" i="1"/>
  <c r="A3228" i="1"/>
  <c r="B3228" i="1"/>
  <c r="C3228" i="1"/>
  <c r="D3228" i="1"/>
  <c r="A3229" i="1"/>
  <c r="B3229" i="1"/>
  <c r="C3229" i="1"/>
  <c r="D3229" i="1"/>
  <c r="A3230" i="1"/>
  <c r="B3230" i="1"/>
  <c r="C3230" i="1"/>
  <c r="D3230" i="1"/>
  <c r="A3231" i="1"/>
  <c r="B3231" i="1"/>
  <c r="C3231" i="1"/>
  <c r="D3231" i="1"/>
  <c r="A3232" i="1"/>
  <c r="B3232" i="1"/>
  <c r="C3232" i="1"/>
  <c r="D3232" i="1"/>
  <c r="A3233" i="1"/>
  <c r="B3233" i="1"/>
  <c r="C3233" i="1"/>
  <c r="D3233" i="1"/>
  <c r="A3234" i="1"/>
  <c r="B3234" i="1"/>
  <c r="C3234" i="1"/>
  <c r="D3234" i="1"/>
  <c r="A3235" i="1"/>
  <c r="B3235" i="1"/>
  <c r="C3235" i="1"/>
  <c r="D3235" i="1"/>
  <c r="A3236" i="1"/>
  <c r="B3236" i="1"/>
  <c r="C3236" i="1"/>
  <c r="D3236" i="1"/>
  <c r="A3237" i="1"/>
  <c r="B3237" i="1"/>
  <c r="C3237" i="1"/>
  <c r="D3237" i="1"/>
  <c r="A3238" i="1"/>
  <c r="B3238" i="1"/>
  <c r="C3238" i="1"/>
  <c r="D3238" i="1"/>
  <c r="A3239" i="1"/>
  <c r="B3239" i="1"/>
  <c r="C3239" i="1"/>
  <c r="D3239" i="1"/>
  <c r="A3240" i="1"/>
  <c r="B3240" i="1"/>
  <c r="C3240" i="1"/>
  <c r="D3240" i="1"/>
  <c r="A3241" i="1"/>
  <c r="B3241" i="1"/>
  <c r="C3241" i="1"/>
  <c r="D3241" i="1"/>
  <c r="A3242" i="1"/>
  <c r="B3242" i="1"/>
  <c r="C3242" i="1"/>
  <c r="D3242" i="1"/>
  <c r="A3243" i="1"/>
  <c r="B3243" i="1"/>
  <c r="C3243" i="1"/>
  <c r="D3243" i="1"/>
  <c r="A3244" i="1"/>
  <c r="B3244" i="1"/>
  <c r="C3244" i="1"/>
  <c r="D3244" i="1"/>
  <c r="A3245" i="1"/>
  <c r="B3245" i="1"/>
  <c r="C3245" i="1"/>
  <c r="D3245" i="1"/>
  <c r="A3246" i="1"/>
  <c r="B3246" i="1"/>
  <c r="C3246" i="1"/>
  <c r="D3246" i="1"/>
  <c r="A3247" i="1"/>
  <c r="B3247" i="1"/>
  <c r="C3247" i="1"/>
  <c r="D3247" i="1"/>
  <c r="A3248" i="1"/>
  <c r="B3248" i="1"/>
  <c r="C3248" i="1"/>
  <c r="D3248" i="1"/>
  <c r="A3249" i="1"/>
  <c r="B3249" i="1"/>
  <c r="C3249" i="1"/>
  <c r="D3249" i="1"/>
  <c r="A3250" i="1"/>
  <c r="B3250" i="1"/>
  <c r="C3250" i="1"/>
  <c r="D3250" i="1"/>
  <c r="A3251" i="1"/>
  <c r="B3251" i="1"/>
  <c r="C3251" i="1"/>
  <c r="D3251" i="1"/>
  <c r="A3252" i="1"/>
  <c r="B3252" i="1"/>
  <c r="C3252" i="1"/>
  <c r="D3252" i="1"/>
  <c r="A3253" i="1"/>
  <c r="B3253" i="1"/>
  <c r="C3253" i="1"/>
  <c r="D3253" i="1"/>
  <c r="A3254" i="1"/>
  <c r="B3254" i="1"/>
  <c r="C3254" i="1"/>
  <c r="D3254" i="1"/>
  <c r="A3255" i="1"/>
  <c r="B3255" i="1"/>
  <c r="C3255" i="1"/>
  <c r="D3255" i="1"/>
  <c r="A3256" i="1"/>
  <c r="B3256" i="1"/>
  <c r="C3256" i="1"/>
  <c r="D3256" i="1"/>
  <c r="A3257" i="1"/>
  <c r="B3257" i="1"/>
  <c r="C3257" i="1"/>
  <c r="D3257" i="1"/>
  <c r="A3258" i="1"/>
  <c r="B3258" i="1"/>
  <c r="C3258" i="1"/>
  <c r="D3258" i="1"/>
  <c r="A3259" i="1"/>
  <c r="B3259" i="1"/>
  <c r="C3259" i="1"/>
  <c r="D3259" i="1"/>
  <c r="A3260" i="1"/>
  <c r="B3260" i="1"/>
  <c r="C3260" i="1"/>
  <c r="D3260" i="1"/>
  <c r="A3261" i="1"/>
  <c r="B3261" i="1"/>
  <c r="C3261" i="1"/>
  <c r="D3261" i="1"/>
  <c r="A3262" i="1"/>
  <c r="B3262" i="1"/>
  <c r="C3262" i="1"/>
  <c r="D3262" i="1"/>
  <c r="A3263" i="1"/>
  <c r="B3263" i="1"/>
  <c r="C3263" i="1"/>
  <c r="D3263" i="1"/>
  <c r="A3264" i="1"/>
  <c r="B3264" i="1"/>
  <c r="C3264" i="1"/>
  <c r="D3264" i="1"/>
  <c r="A3265" i="1"/>
  <c r="B3265" i="1"/>
  <c r="C3265" i="1"/>
  <c r="D3265" i="1"/>
  <c r="A3266" i="1"/>
  <c r="B3266" i="1"/>
  <c r="C3266" i="1"/>
  <c r="D3266" i="1"/>
  <c r="A3267" i="1"/>
  <c r="B3267" i="1"/>
  <c r="C3267" i="1"/>
  <c r="D3267" i="1"/>
  <c r="A3268" i="1"/>
  <c r="B3268" i="1"/>
  <c r="C3268" i="1"/>
  <c r="D3268" i="1"/>
  <c r="A3269" i="1"/>
  <c r="B3269" i="1"/>
  <c r="C3269" i="1"/>
  <c r="D3269" i="1"/>
  <c r="A3270" i="1"/>
  <c r="B3270" i="1"/>
  <c r="C3270" i="1"/>
  <c r="D3270" i="1"/>
  <c r="A3271" i="1"/>
  <c r="B3271" i="1"/>
  <c r="C3271" i="1"/>
  <c r="D3271" i="1"/>
  <c r="A3272" i="1"/>
  <c r="B3272" i="1"/>
  <c r="C3272" i="1"/>
  <c r="D3272" i="1"/>
  <c r="A3273" i="1"/>
  <c r="B3273" i="1"/>
  <c r="C3273" i="1"/>
  <c r="D3273" i="1"/>
  <c r="A3274" i="1"/>
  <c r="B3274" i="1"/>
  <c r="C3274" i="1"/>
  <c r="D3274" i="1"/>
  <c r="A3275" i="1"/>
  <c r="B3275" i="1"/>
  <c r="C3275" i="1"/>
  <c r="D3275" i="1"/>
  <c r="A3276" i="1"/>
  <c r="B3276" i="1"/>
  <c r="C3276" i="1"/>
  <c r="D3276" i="1"/>
  <c r="A3277" i="1"/>
  <c r="B3277" i="1"/>
  <c r="C3277" i="1"/>
  <c r="D3277" i="1"/>
  <c r="A3278" i="1"/>
  <c r="B3278" i="1"/>
  <c r="C3278" i="1"/>
  <c r="D3278" i="1"/>
  <c r="A3279" i="1"/>
  <c r="B3279" i="1"/>
  <c r="C3279" i="1"/>
  <c r="D3279" i="1"/>
  <c r="A3280" i="1"/>
  <c r="B3280" i="1"/>
  <c r="C3280" i="1"/>
  <c r="D3280" i="1"/>
  <c r="A3281" i="1"/>
  <c r="B3281" i="1"/>
  <c r="C3281" i="1"/>
  <c r="D3281" i="1"/>
  <c r="A3282" i="1"/>
  <c r="B3282" i="1"/>
  <c r="C3282" i="1"/>
  <c r="D3282" i="1"/>
  <c r="A3283" i="1"/>
  <c r="B3283" i="1"/>
  <c r="C3283" i="1"/>
  <c r="D3283" i="1"/>
  <c r="A3284" i="1"/>
  <c r="B3284" i="1"/>
  <c r="C3284" i="1"/>
  <c r="D3284" i="1"/>
  <c r="A3285" i="1"/>
  <c r="B3285" i="1"/>
  <c r="C3285" i="1"/>
  <c r="D3285" i="1"/>
  <c r="A3286" i="1"/>
  <c r="B3286" i="1"/>
  <c r="C3286" i="1"/>
  <c r="D3286" i="1"/>
  <c r="A3287" i="1"/>
  <c r="B3287" i="1"/>
  <c r="C3287" i="1"/>
  <c r="D3287" i="1"/>
  <c r="A3288" i="1"/>
  <c r="B3288" i="1"/>
  <c r="C3288" i="1"/>
  <c r="D3288" i="1"/>
  <c r="A3289" i="1"/>
  <c r="B3289" i="1"/>
  <c r="C3289" i="1"/>
  <c r="D3289" i="1"/>
  <c r="A3290" i="1"/>
  <c r="B3290" i="1"/>
  <c r="C3290" i="1"/>
  <c r="D3290" i="1"/>
  <c r="A3291" i="1"/>
  <c r="B3291" i="1"/>
  <c r="C3291" i="1"/>
  <c r="D3291" i="1"/>
  <c r="A3292" i="1"/>
  <c r="B3292" i="1"/>
  <c r="C3292" i="1"/>
  <c r="D3292" i="1"/>
  <c r="A3293" i="1"/>
  <c r="B3293" i="1"/>
  <c r="C3293" i="1"/>
  <c r="D3293" i="1"/>
  <c r="A3294" i="1"/>
  <c r="B3294" i="1"/>
  <c r="C3294" i="1"/>
  <c r="D3294" i="1"/>
  <c r="A3295" i="1"/>
  <c r="B3295" i="1"/>
  <c r="C3295" i="1"/>
  <c r="D3295" i="1"/>
  <c r="A3296" i="1"/>
  <c r="B3296" i="1"/>
  <c r="C3296" i="1"/>
  <c r="D3296" i="1"/>
  <c r="A3297" i="1"/>
  <c r="B3297" i="1"/>
  <c r="C3297" i="1"/>
  <c r="D3297" i="1"/>
  <c r="A3298" i="1"/>
  <c r="B3298" i="1"/>
  <c r="C3298" i="1"/>
  <c r="D3298" i="1"/>
  <c r="A3299" i="1"/>
  <c r="B3299" i="1"/>
  <c r="C3299" i="1"/>
  <c r="D3299" i="1"/>
  <c r="A3300" i="1"/>
  <c r="B3300" i="1"/>
  <c r="C3300" i="1"/>
  <c r="D3300" i="1"/>
  <c r="A3301" i="1"/>
  <c r="B3301" i="1"/>
  <c r="C3301" i="1"/>
  <c r="D3301" i="1"/>
  <c r="A3302" i="1"/>
  <c r="B3302" i="1"/>
  <c r="C3302" i="1"/>
  <c r="D3302" i="1"/>
  <c r="A3303" i="1"/>
  <c r="B3303" i="1"/>
  <c r="C3303" i="1"/>
  <c r="D3303" i="1"/>
  <c r="A3304" i="1"/>
  <c r="B3304" i="1"/>
  <c r="C3304" i="1"/>
  <c r="D3304" i="1"/>
  <c r="A3305" i="1"/>
  <c r="B3305" i="1"/>
  <c r="C3305" i="1"/>
  <c r="D3305" i="1"/>
  <c r="A3306" i="1"/>
  <c r="B3306" i="1"/>
  <c r="C3306" i="1"/>
  <c r="D3306" i="1"/>
  <c r="A3307" i="1"/>
  <c r="B3307" i="1"/>
  <c r="C3307" i="1"/>
  <c r="D3307" i="1"/>
  <c r="A3308" i="1"/>
  <c r="B3308" i="1"/>
  <c r="C3308" i="1"/>
  <c r="D3308" i="1"/>
  <c r="A3309" i="1"/>
  <c r="B3309" i="1"/>
  <c r="C3309" i="1"/>
  <c r="D3309" i="1"/>
  <c r="A3310" i="1"/>
  <c r="B3310" i="1"/>
  <c r="C3310" i="1"/>
  <c r="D3310" i="1"/>
  <c r="A3311" i="1"/>
  <c r="B3311" i="1"/>
  <c r="C3311" i="1"/>
  <c r="D3311" i="1"/>
  <c r="A3312" i="1"/>
  <c r="B3312" i="1"/>
  <c r="C3312" i="1"/>
  <c r="D3312" i="1"/>
  <c r="A3313" i="1"/>
  <c r="B3313" i="1"/>
  <c r="C3313" i="1"/>
  <c r="D3313" i="1"/>
  <c r="A3314" i="1"/>
  <c r="B3314" i="1"/>
  <c r="C3314" i="1"/>
  <c r="D3314" i="1"/>
  <c r="A3315" i="1"/>
  <c r="B3315" i="1"/>
  <c r="C3315" i="1"/>
  <c r="D3315" i="1"/>
  <c r="A3316" i="1"/>
  <c r="B3316" i="1"/>
  <c r="C3316" i="1"/>
  <c r="D3316" i="1"/>
  <c r="A3317" i="1"/>
  <c r="B3317" i="1"/>
  <c r="C3317" i="1"/>
  <c r="D3317" i="1"/>
  <c r="A3318" i="1"/>
  <c r="B3318" i="1"/>
  <c r="C3318" i="1"/>
  <c r="D3318" i="1"/>
  <c r="A3319" i="1"/>
  <c r="B3319" i="1"/>
  <c r="C3319" i="1"/>
  <c r="D3319" i="1"/>
  <c r="A3320" i="1"/>
  <c r="B3320" i="1"/>
  <c r="C3320" i="1"/>
  <c r="D3320" i="1"/>
  <c r="A3321" i="1"/>
  <c r="B3321" i="1"/>
  <c r="C3321" i="1"/>
  <c r="D3321" i="1"/>
  <c r="A3322" i="1"/>
  <c r="B3322" i="1"/>
  <c r="C3322" i="1"/>
  <c r="D3322" i="1"/>
  <c r="A3323" i="1"/>
  <c r="B3323" i="1"/>
  <c r="C3323" i="1"/>
  <c r="D3323" i="1"/>
  <c r="A3324" i="1"/>
  <c r="B3324" i="1"/>
  <c r="C3324" i="1"/>
  <c r="D3324" i="1"/>
  <c r="A3325" i="1"/>
  <c r="B3325" i="1"/>
  <c r="C3325" i="1"/>
  <c r="D3325" i="1"/>
  <c r="A3326" i="1"/>
  <c r="B3326" i="1"/>
  <c r="C3326" i="1"/>
  <c r="D3326" i="1"/>
  <c r="A3327" i="1"/>
  <c r="B3327" i="1"/>
  <c r="C3327" i="1"/>
  <c r="D3327" i="1"/>
  <c r="A3328" i="1"/>
  <c r="B3328" i="1"/>
  <c r="C3328" i="1"/>
  <c r="D3328" i="1"/>
  <c r="A3329" i="1"/>
  <c r="B3329" i="1"/>
  <c r="C3329" i="1"/>
  <c r="D3329" i="1"/>
  <c r="A3330" i="1"/>
  <c r="B3330" i="1"/>
  <c r="C3330" i="1"/>
  <c r="D3330" i="1"/>
  <c r="A3331" i="1"/>
  <c r="B3331" i="1"/>
  <c r="C3331" i="1"/>
  <c r="D3331" i="1"/>
  <c r="A3332" i="1"/>
  <c r="B3332" i="1"/>
  <c r="C3332" i="1"/>
  <c r="D3332" i="1"/>
  <c r="A3333" i="1"/>
  <c r="B3333" i="1"/>
  <c r="C3333" i="1"/>
  <c r="D3333" i="1"/>
  <c r="A3334" i="1"/>
  <c r="B3334" i="1"/>
  <c r="C3334" i="1"/>
  <c r="D3334" i="1"/>
  <c r="A3335" i="1"/>
  <c r="B3335" i="1"/>
  <c r="C3335" i="1"/>
  <c r="D3335" i="1"/>
  <c r="A3336" i="1"/>
  <c r="B3336" i="1"/>
  <c r="C3336" i="1"/>
  <c r="D3336" i="1"/>
  <c r="A3337" i="1"/>
  <c r="B3337" i="1"/>
  <c r="C3337" i="1"/>
  <c r="D3337" i="1"/>
  <c r="A3338" i="1"/>
  <c r="B3338" i="1"/>
  <c r="C3338" i="1"/>
  <c r="D3338" i="1"/>
  <c r="A3339" i="1"/>
  <c r="B3339" i="1"/>
  <c r="C3339" i="1"/>
  <c r="D3339" i="1"/>
  <c r="A3340" i="1"/>
  <c r="B3340" i="1"/>
  <c r="C3340" i="1"/>
  <c r="D3340" i="1"/>
  <c r="A3341" i="1"/>
  <c r="B3341" i="1"/>
  <c r="C3341" i="1"/>
  <c r="D3341" i="1"/>
  <c r="A3342" i="1"/>
  <c r="B3342" i="1"/>
  <c r="C3342" i="1"/>
  <c r="D3342" i="1"/>
  <c r="A3343" i="1"/>
  <c r="B3343" i="1"/>
  <c r="C3343" i="1"/>
  <c r="D3343" i="1"/>
  <c r="A3344" i="1"/>
  <c r="B3344" i="1"/>
  <c r="C3344" i="1"/>
  <c r="D3344" i="1"/>
  <c r="A3345" i="1"/>
  <c r="B3345" i="1"/>
  <c r="C3345" i="1"/>
  <c r="D3345" i="1"/>
  <c r="A3346" i="1"/>
  <c r="B3346" i="1"/>
  <c r="C3346" i="1"/>
  <c r="D3346" i="1"/>
  <c r="A3347" i="1"/>
  <c r="B3347" i="1"/>
  <c r="C3347" i="1"/>
  <c r="D3347" i="1"/>
  <c r="A3348" i="1"/>
  <c r="B3348" i="1"/>
  <c r="C3348" i="1"/>
  <c r="D3348" i="1"/>
  <c r="A3349" i="1"/>
  <c r="B3349" i="1"/>
  <c r="C3349" i="1"/>
  <c r="D3349" i="1"/>
  <c r="A3350" i="1"/>
  <c r="B3350" i="1"/>
  <c r="C3350" i="1"/>
  <c r="D3350" i="1"/>
  <c r="A3351" i="1"/>
  <c r="B3351" i="1"/>
  <c r="C3351" i="1"/>
  <c r="D3351" i="1"/>
  <c r="A3352" i="1"/>
  <c r="B3352" i="1"/>
  <c r="C3352" i="1"/>
  <c r="D3352" i="1"/>
  <c r="A3353" i="1"/>
  <c r="B3353" i="1"/>
  <c r="C3353" i="1"/>
  <c r="D3353" i="1"/>
  <c r="A3354" i="1"/>
  <c r="B3354" i="1"/>
  <c r="C3354" i="1"/>
  <c r="D3354" i="1"/>
  <c r="A3355" i="1"/>
  <c r="B3355" i="1"/>
  <c r="C3355" i="1"/>
  <c r="D3355" i="1"/>
  <c r="A3356" i="1"/>
  <c r="B3356" i="1"/>
  <c r="C3356" i="1"/>
  <c r="D3356" i="1"/>
  <c r="A3357" i="1"/>
  <c r="B3357" i="1"/>
  <c r="C3357" i="1"/>
  <c r="D3357" i="1"/>
  <c r="A3358" i="1"/>
  <c r="B3358" i="1"/>
  <c r="C3358" i="1"/>
  <c r="D3358" i="1"/>
  <c r="A3359" i="1"/>
  <c r="B3359" i="1"/>
  <c r="C3359" i="1"/>
  <c r="D3359" i="1"/>
  <c r="A3360" i="1"/>
  <c r="B3360" i="1"/>
  <c r="C3360" i="1"/>
  <c r="D3360" i="1"/>
  <c r="A3361" i="1"/>
  <c r="B3361" i="1"/>
  <c r="C3361" i="1"/>
  <c r="D3361" i="1"/>
  <c r="A3362" i="1"/>
  <c r="B3362" i="1"/>
  <c r="C3362" i="1"/>
  <c r="D3362" i="1"/>
  <c r="A3363" i="1"/>
  <c r="B3363" i="1"/>
  <c r="C3363" i="1"/>
  <c r="D3363" i="1"/>
  <c r="A3364" i="1"/>
  <c r="B3364" i="1"/>
  <c r="C3364" i="1"/>
  <c r="D3364" i="1"/>
  <c r="A3365" i="1"/>
  <c r="B3365" i="1"/>
  <c r="C3365" i="1"/>
  <c r="D3365" i="1"/>
  <c r="A3366" i="1"/>
  <c r="B3366" i="1"/>
  <c r="C3366" i="1"/>
  <c r="D3366" i="1"/>
  <c r="A3367" i="1"/>
  <c r="B3367" i="1"/>
  <c r="C3367" i="1"/>
  <c r="D3367" i="1"/>
  <c r="A3368" i="1"/>
  <c r="B3368" i="1"/>
  <c r="C3368" i="1"/>
  <c r="D3368" i="1"/>
  <c r="A3369" i="1"/>
  <c r="B3369" i="1"/>
  <c r="C3369" i="1"/>
  <c r="D3369" i="1"/>
  <c r="A3370" i="1"/>
  <c r="B3370" i="1"/>
  <c r="C3370" i="1"/>
  <c r="D3370" i="1"/>
  <c r="A3371" i="1"/>
  <c r="B3371" i="1"/>
  <c r="C3371" i="1"/>
  <c r="D3371" i="1"/>
  <c r="A3372" i="1"/>
  <c r="B3372" i="1"/>
  <c r="C3372" i="1"/>
  <c r="D3372" i="1"/>
  <c r="A3373" i="1"/>
  <c r="B3373" i="1"/>
  <c r="C3373" i="1"/>
  <c r="D3373" i="1"/>
  <c r="A3374" i="1"/>
  <c r="B3374" i="1"/>
  <c r="C3374" i="1"/>
  <c r="D3374" i="1"/>
  <c r="A3375" i="1"/>
  <c r="B3375" i="1"/>
  <c r="C3375" i="1"/>
  <c r="D3375" i="1"/>
  <c r="A3376" i="1"/>
  <c r="B3376" i="1"/>
  <c r="C3376" i="1"/>
  <c r="D3376" i="1"/>
  <c r="A3377" i="1"/>
  <c r="B3377" i="1"/>
  <c r="C3377" i="1"/>
  <c r="D3377" i="1"/>
  <c r="A3378" i="1"/>
  <c r="B3378" i="1"/>
  <c r="C3378" i="1"/>
  <c r="D3378" i="1"/>
  <c r="A3379" i="1"/>
  <c r="B3379" i="1"/>
  <c r="C3379" i="1"/>
  <c r="D3379" i="1"/>
  <c r="A3380" i="1"/>
  <c r="B3380" i="1"/>
  <c r="C3380" i="1"/>
  <c r="D3380" i="1"/>
  <c r="A3381" i="1"/>
  <c r="B3381" i="1"/>
  <c r="C3381" i="1"/>
  <c r="D3381" i="1"/>
  <c r="A3382" i="1"/>
  <c r="B3382" i="1"/>
  <c r="C3382" i="1"/>
  <c r="D3382" i="1"/>
  <c r="A3383" i="1"/>
  <c r="B3383" i="1"/>
  <c r="C3383" i="1"/>
  <c r="D3383" i="1"/>
  <c r="A3384" i="1"/>
  <c r="B3384" i="1"/>
  <c r="C3384" i="1"/>
  <c r="D3384" i="1"/>
  <c r="A3385" i="1"/>
  <c r="B3385" i="1"/>
  <c r="C3385" i="1"/>
  <c r="D3385" i="1"/>
  <c r="A3386" i="1"/>
  <c r="B3386" i="1"/>
  <c r="C3386" i="1"/>
  <c r="D3386" i="1"/>
  <c r="A3387" i="1"/>
  <c r="B3387" i="1"/>
  <c r="C3387" i="1"/>
  <c r="D3387" i="1"/>
  <c r="A3388" i="1"/>
  <c r="B3388" i="1"/>
  <c r="C3388" i="1"/>
  <c r="D3388" i="1"/>
  <c r="A3389" i="1"/>
  <c r="B3389" i="1"/>
  <c r="C3389" i="1"/>
  <c r="D3389" i="1"/>
  <c r="A3390" i="1"/>
  <c r="B3390" i="1"/>
  <c r="C3390" i="1"/>
  <c r="D3390" i="1"/>
  <c r="A3391" i="1"/>
  <c r="B3391" i="1"/>
  <c r="C3391" i="1"/>
  <c r="D3391" i="1"/>
  <c r="A3392" i="1"/>
  <c r="B3392" i="1"/>
  <c r="C3392" i="1"/>
  <c r="D3392" i="1"/>
  <c r="A3393" i="1"/>
  <c r="B3393" i="1"/>
  <c r="C3393" i="1"/>
  <c r="D3393" i="1"/>
  <c r="A3394" i="1"/>
  <c r="B3394" i="1"/>
  <c r="C3394" i="1"/>
  <c r="D3394" i="1"/>
  <c r="A3395" i="1"/>
  <c r="B3395" i="1"/>
  <c r="C3395" i="1"/>
  <c r="D3395" i="1"/>
  <c r="A3396" i="1"/>
  <c r="B3396" i="1"/>
  <c r="C3396" i="1"/>
  <c r="D3396" i="1"/>
  <c r="A3397" i="1"/>
  <c r="B3397" i="1"/>
  <c r="C3397" i="1"/>
  <c r="D3397" i="1"/>
  <c r="A3398" i="1"/>
  <c r="B3398" i="1"/>
  <c r="C3398" i="1"/>
  <c r="D3398" i="1"/>
  <c r="A3399" i="1"/>
  <c r="B3399" i="1"/>
  <c r="C3399" i="1"/>
  <c r="D3399" i="1"/>
  <c r="A3400" i="1"/>
  <c r="B3400" i="1"/>
  <c r="C3400" i="1"/>
  <c r="D3400" i="1"/>
  <c r="A3401" i="1"/>
  <c r="B3401" i="1"/>
  <c r="C3401" i="1"/>
  <c r="D3401" i="1"/>
  <c r="A3402" i="1"/>
  <c r="B3402" i="1"/>
  <c r="C3402" i="1"/>
  <c r="D3402" i="1"/>
  <c r="A3403" i="1"/>
  <c r="B3403" i="1"/>
  <c r="C3403" i="1"/>
  <c r="D3403" i="1"/>
  <c r="A3404" i="1"/>
  <c r="B3404" i="1"/>
  <c r="C3404" i="1"/>
  <c r="D3404" i="1"/>
  <c r="A3405" i="1"/>
  <c r="B3405" i="1"/>
  <c r="C3405" i="1"/>
  <c r="D3405" i="1"/>
  <c r="A3406" i="1"/>
  <c r="B3406" i="1"/>
  <c r="C3406" i="1"/>
  <c r="D3406" i="1"/>
  <c r="A3407" i="1"/>
  <c r="B3407" i="1"/>
  <c r="C3407" i="1"/>
  <c r="D3407" i="1"/>
  <c r="A3408" i="1"/>
  <c r="B3408" i="1"/>
  <c r="C3408" i="1"/>
  <c r="D3408" i="1"/>
  <c r="A3409" i="1"/>
  <c r="B3409" i="1"/>
  <c r="C3409" i="1"/>
  <c r="D3409" i="1"/>
  <c r="A3410" i="1"/>
  <c r="B3410" i="1"/>
  <c r="C3410" i="1"/>
  <c r="D3410" i="1"/>
  <c r="A3411" i="1"/>
  <c r="B3411" i="1"/>
  <c r="C3411" i="1"/>
  <c r="D3411" i="1"/>
  <c r="A3412" i="1"/>
  <c r="B3412" i="1"/>
  <c r="C3412" i="1"/>
  <c r="D3412" i="1"/>
  <c r="A3413" i="1"/>
  <c r="B3413" i="1"/>
  <c r="C3413" i="1"/>
  <c r="D3413" i="1"/>
  <c r="A3414" i="1"/>
  <c r="B3414" i="1"/>
  <c r="C3414" i="1"/>
  <c r="D3414" i="1"/>
  <c r="A3415" i="1"/>
  <c r="B3415" i="1"/>
  <c r="C3415" i="1"/>
  <c r="D3415" i="1"/>
  <c r="A3416" i="1"/>
  <c r="B3416" i="1"/>
  <c r="C3416" i="1"/>
  <c r="D3416" i="1"/>
  <c r="A3417" i="1"/>
  <c r="B3417" i="1"/>
  <c r="C3417" i="1"/>
  <c r="D3417" i="1"/>
  <c r="A3418" i="1"/>
  <c r="B3418" i="1"/>
  <c r="C3418" i="1"/>
  <c r="D3418" i="1"/>
  <c r="A3419" i="1"/>
  <c r="B3419" i="1"/>
  <c r="C3419" i="1"/>
  <c r="D3419" i="1"/>
  <c r="A3420" i="1"/>
  <c r="B3420" i="1"/>
  <c r="C3420" i="1"/>
  <c r="D3420" i="1"/>
  <c r="A3421" i="1"/>
  <c r="B3421" i="1"/>
  <c r="C3421" i="1"/>
  <c r="D3421" i="1"/>
  <c r="A3422" i="1"/>
  <c r="B3422" i="1"/>
  <c r="C3422" i="1"/>
  <c r="D3422" i="1"/>
  <c r="A3423" i="1"/>
  <c r="B3423" i="1"/>
  <c r="C3423" i="1"/>
  <c r="D3423" i="1"/>
  <c r="A3424" i="1"/>
  <c r="B3424" i="1"/>
  <c r="C3424" i="1"/>
  <c r="D3424" i="1"/>
  <c r="A3425" i="1"/>
  <c r="B3425" i="1"/>
  <c r="C3425" i="1"/>
  <c r="D3425" i="1"/>
  <c r="A3426" i="1"/>
  <c r="B3426" i="1"/>
  <c r="C3426" i="1"/>
  <c r="D3426" i="1"/>
  <c r="A3427" i="1"/>
  <c r="B3427" i="1"/>
  <c r="C3427" i="1"/>
  <c r="D3427" i="1"/>
  <c r="A3428" i="1"/>
  <c r="B3428" i="1"/>
  <c r="C3428" i="1"/>
  <c r="D3428" i="1"/>
  <c r="A3429" i="1"/>
  <c r="B3429" i="1"/>
  <c r="C3429" i="1"/>
  <c r="D3429" i="1"/>
  <c r="A3430" i="1"/>
  <c r="B3430" i="1"/>
  <c r="C3430" i="1"/>
  <c r="D3430" i="1"/>
  <c r="A3431" i="1"/>
  <c r="B3431" i="1"/>
  <c r="C3431" i="1"/>
  <c r="D3431" i="1"/>
  <c r="A3432" i="1"/>
  <c r="B3432" i="1"/>
  <c r="C3432" i="1"/>
  <c r="D3432" i="1"/>
  <c r="A3433" i="1"/>
  <c r="B3433" i="1"/>
  <c r="C3433" i="1"/>
  <c r="D3433" i="1"/>
  <c r="A3434" i="1"/>
  <c r="B3434" i="1"/>
  <c r="C3434" i="1"/>
  <c r="D3434" i="1"/>
  <c r="A3435" i="1"/>
  <c r="B3435" i="1"/>
  <c r="C3435" i="1"/>
  <c r="D3435" i="1"/>
  <c r="A3436" i="1"/>
  <c r="B3436" i="1"/>
  <c r="C3436" i="1"/>
  <c r="D3436" i="1"/>
  <c r="A3437" i="1"/>
  <c r="B3437" i="1"/>
  <c r="C3437" i="1"/>
  <c r="D3437" i="1"/>
  <c r="A3438" i="1"/>
  <c r="B3438" i="1"/>
  <c r="C3438" i="1"/>
  <c r="D3438" i="1"/>
  <c r="A3439" i="1"/>
  <c r="B3439" i="1"/>
  <c r="C3439" i="1"/>
  <c r="D3439" i="1"/>
  <c r="A3440" i="1"/>
  <c r="B3440" i="1"/>
  <c r="C3440" i="1"/>
  <c r="D3440" i="1"/>
  <c r="A3441" i="1"/>
  <c r="B3441" i="1"/>
  <c r="C3441" i="1"/>
  <c r="D3441" i="1"/>
  <c r="A3442" i="1"/>
  <c r="B3442" i="1"/>
  <c r="C3442" i="1"/>
  <c r="D3442" i="1"/>
  <c r="A3443" i="1"/>
  <c r="B3443" i="1"/>
  <c r="C3443" i="1"/>
  <c r="D3443" i="1"/>
  <c r="A3444" i="1"/>
  <c r="B3444" i="1"/>
  <c r="C3444" i="1"/>
  <c r="D3444" i="1"/>
  <c r="A3445" i="1"/>
  <c r="B3445" i="1"/>
  <c r="C3445" i="1"/>
  <c r="D3445" i="1"/>
  <c r="A3446" i="1"/>
  <c r="B3446" i="1"/>
  <c r="C3446" i="1"/>
  <c r="D3446" i="1"/>
  <c r="A3447" i="1"/>
  <c r="B3447" i="1"/>
  <c r="C3447" i="1"/>
  <c r="D3447" i="1"/>
  <c r="A3448" i="1"/>
  <c r="B3448" i="1"/>
  <c r="C3448" i="1"/>
  <c r="D3448" i="1"/>
  <c r="A3449" i="1"/>
  <c r="B3449" i="1"/>
  <c r="C3449" i="1"/>
  <c r="D3449" i="1"/>
  <c r="A3450" i="1"/>
  <c r="B3450" i="1"/>
  <c r="C3450" i="1"/>
  <c r="D3450" i="1"/>
  <c r="A3451" i="1"/>
  <c r="B3451" i="1"/>
  <c r="C3451" i="1"/>
  <c r="D3451" i="1"/>
  <c r="A3452" i="1"/>
  <c r="B3452" i="1"/>
  <c r="C3452" i="1"/>
  <c r="D3452" i="1"/>
  <c r="A3453" i="1"/>
  <c r="B3453" i="1"/>
  <c r="C3453" i="1"/>
  <c r="D3453" i="1"/>
  <c r="A3454" i="1"/>
  <c r="B3454" i="1"/>
  <c r="C3454" i="1"/>
  <c r="D3454" i="1"/>
  <c r="A3455" i="1"/>
  <c r="B3455" i="1"/>
  <c r="C3455" i="1"/>
  <c r="D3455" i="1"/>
  <c r="A3456" i="1"/>
  <c r="B3456" i="1"/>
  <c r="C3456" i="1"/>
  <c r="D3456" i="1"/>
  <c r="A3457" i="1"/>
  <c r="B3457" i="1"/>
  <c r="C3457" i="1"/>
  <c r="D3457" i="1"/>
  <c r="A3458" i="1"/>
  <c r="B3458" i="1"/>
  <c r="C3458" i="1"/>
  <c r="D3458" i="1"/>
  <c r="A3459" i="1"/>
  <c r="B3459" i="1"/>
  <c r="C3459" i="1"/>
  <c r="D3459" i="1"/>
  <c r="A3460" i="1"/>
  <c r="B3460" i="1"/>
  <c r="C3460" i="1"/>
  <c r="D3460" i="1"/>
  <c r="A3461" i="1"/>
  <c r="B3461" i="1"/>
  <c r="C3461" i="1"/>
  <c r="D3461" i="1"/>
  <c r="A3462" i="1"/>
  <c r="B3462" i="1"/>
  <c r="C3462" i="1"/>
  <c r="D3462" i="1"/>
  <c r="A3463" i="1"/>
  <c r="B3463" i="1"/>
  <c r="C3463" i="1"/>
  <c r="D3463" i="1"/>
  <c r="A3464" i="1"/>
  <c r="B3464" i="1"/>
  <c r="C3464" i="1"/>
  <c r="D3464" i="1"/>
  <c r="A3465" i="1"/>
  <c r="B3465" i="1"/>
  <c r="C3465" i="1"/>
  <c r="D3465" i="1"/>
  <c r="A3466" i="1"/>
  <c r="B3466" i="1"/>
  <c r="C3466" i="1"/>
  <c r="D3466" i="1"/>
  <c r="A3467" i="1"/>
  <c r="B3467" i="1"/>
  <c r="C3467" i="1"/>
  <c r="D3467" i="1"/>
  <c r="A3468" i="1"/>
  <c r="B3468" i="1"/>
  <c r="C3468" i="1"/>
  <c r="D3468" i="1"/>
  <c r="A3469" i="1"/>
  <c r="B3469" i="1"/>
  <c r="C3469" i="1"/>
  <c r="D3469" i="1"/>
  <c r="A3470" i="1"/>
  <c r="B3470" i="1"/>
  <c r="C3470" i="1"/>
  <c r="D3470" i="1"/>
  <c r="A3471" i="1"/>
  <c r="B3471" i="1"/>
  <c r="C3471" i="1"/>
  <c r="D3471" i="1"/>
  <c r="A3472" i="1"/>
  <c r="B3472" i="1"/>
  <c r="C3472" i="1"/>
  <c r="D3472" i="1"/>
  <c r="A3473" i="1"/>
  <c r="B3473" i="1"/>
  <c r="C3473" i="1"/>
  <c r="D3473" i="1"/>
  <c r="A3474" i="1"/>
  <c r="B3474" i="1"/>
  <c r="C3474" i="1"/>
  <c r="D3474" i="1"/>
  <c r="A3475" i="1"/>
  <c r="B3475" i="1"/>
  <c r="C3475" i="1"/>
  <c r="D3475" i="1"/>
  <c r="A3476" i="1"/>
  <c r="B3476" i="1"/>
  <c r="C3476" i="1"/>
  <c r="D3476" i="1"/>
  <c r="A3477" i="1"/>
  <c r="B3477" i="1"/>
  <c r="C3477" i="1"/>
  <c r="D3477" i="1"/>
  <c r="A3478" i="1"/>
  <c r="B3478" i="1"/>
  <c r="C3478" i="1"/>
  <c r="D3478" i="1"/>
  <c r="A3479" i="1"/>
  <c r="B3479" i="1"/>
  <c r="C3479" i="1"/>
  <c r="D3479" i="1"/>
  <c r="A3480" i="1"/>
  <c r="B3480" i="1"/>
  <c r="C3480" i="1"/>
  <c r="D3480" i="1"/>
  <c r="A3481" i="1"/>
  <c r="B3481" i="1"/>
  <c r="C3481" i="1"/>
  <c r="D3481" i="1"/>
  <c r="A3482" i="1"/>
  <c r="B3482" i="1"/>
  <c r="C3482" i="1"/>
  <c r="D3482" i="1"/>
  <c r="A3483" i="1"/>
  <c r="B3483" i="1"/>
  <c r="C3483" i="1"/>
  <c r="D3483" i="1"/>
  <c r="A3484" i="1"/>
  <c r="B3484" i="1"/>
  <c r="C3484" i="1"/>
  <c r="D3484" i="1"/>
  <c r="A3485" i="1"/>
  <c r="B3485" i="1"/>
  <c r="C3485" i="1"/>
  <c r="D3485" i="1"/>
  <c r="A3486" i="1"/>
  <c r="B3486" i="1"/>
  <c r="C3486" i="1"/>
  <c r="D3486" i="1"/>
  <c r="A3487" i="1"/>
  <c r="B3487" i="1"/>
  <c r="C3487" i="1"/>
  <c r="D3487" i="1"/>
  <c r="A3488" i="1"/>
  <c r="B3488" i="1"/>
  <c r="C3488" i="1"/>
  <c r="D3488" i="1"/>
  <c r="A3489" i="1"/>
  <c r="B3489" i="1"/>
  <c r="C3489" i="1"/>
  <c r="D3489" i="1"/>
  <c r="A3490" i="1"/>
  <c r="B3490" i="1"/>
  <c r="C3490" i="1"/>
  <c r="D3490" i="1"/>
  <c r="A3491" i="1"/>
  <c r="B3491" i="1"/>
  <c r="C3491" i="1"/>
  <c r="D3491" i="1"/>
  <c r="A3492" i="1"/>
  <c r="B3492" i="1"/>
  <c r="C3492" i="1"/>
  <c r="D3492" i="1"/>
  <c r="A3493" i="1"/>
  <c r="B3493" i="1"/>
  <c r="C3493" i="1"/>
  <c r="D3493" i="1"/>
  <c r="A3494" i="1"/>
  <c r="B3494" i="1"/>
  <c r="C3494" i="1"/>
  <c r="D3494" i="1"/>
  <c r="A3495" i="1"/>
  <c r="B3495" i="1"/>
  <c r="C3495" i="1"/>
  <c r="D3495" i="1"/>
  <c r="A3496" i="1"/>
  <c r="B3496" i="1"/>
  <c r="C3496" i="1"/>
  <c r="D3496" i="1"/>
  <c r="A3497" i="1"/>
  <c r="B3497" i="1"/>
  <c r="C3497" i="1"/>
  <c r="D3497" i="1"/>
  <c r="A3498" i="1"/>
  <c r="B3498" i="1"/>
  <c r="C3498" i="1"/>
  <c r="D3498" i="1"/>
  <c r="A3499" i="1"/>
  <c r="B3499" i="1"/>
  <c r="C3499" i="1"/>
  <c r="D3499" i="1"/>
  <c r="A3500" i="1"/>
  <c r="B3500" i="1"/>
  <c r="C3500" i="1"/>
  <c r="D3500" i="1"/>
  <c r="A3501" i="1"/>
  <c r="B3501" i="1"/>
  <c r="C3501" i="1"/>
  <c r="D3501" i="1"/>
  <c r="A3502" i="1"/>
  <c r="B3502" i="1"/>
  <c r="C3502" i="1"/>
  <c r="D3502" i="1"/>
  <c r="A3503" i="1"/>
  <c r="B3503" i="1"/>
  <c r="C3503" i="1"/>
  <c r="D3503" i="1"/>
  <c r="A3504" i="1"/>
  <c r="B3504" i="1"/>
  <c r="C3504" i="1"/>
  <c r="D3504" i="1"/>
  <c r="A3505" i="1"/>
  <c r="B3505" i="1"/>
  <c r="C3505" i="1"/>
  <c r="D3505" i="1"/>
  <c r="A3506" i="1"/>
  <c r="B3506" i="1"/>
  <c r="C3506" i="1"/>
  <c r="D3506" i="1"/>
  <c r="A3507" i="1"/>
  <c r="B3507" i="1"/>
  <c r="C3507" i="1"/>
  <c r="D3507" i="1"/>
  <c r="A3508" i="1"/>
  <c r="B3508" i="1"/>
  <c r="C3508" i="1"/>
  <c r="D3508" i="1"/>
  <c r="A3509" i="1"/>
  <c r="B3509" i="1"/>
  <c r="C3509" i="1"/>
  <c r="D3509" i="1"/>
  <c r="A3510" i="1"/>
  <c r="B3510" i="1"/>
  <c r="C3510" i="1"/>
  <c r="D3510" i="1"/>
  <c r="A3511" i="1"/>
  <c r="B3511" i="1"/>
  <c r="C3511" i="1"/>
  <c r="D3511" i="1"/>
  <c r="A3512" i="1"/>
  <c r="B3512" i="1"/>
  <c r="C3512" i="1"/>
  <c r="D3512" i="1"/>
  <c r="A3513" i="1"/>
  <c r="B3513" i="1"/>
  <c r="C3513" i="1"/>
  <c r="D3513" i="1"/>
  <c r="A3514" i="1"/>
  <c r="B3514" i="1"/>
  <c r="C3514" i="1"/>
  <c r="D3514" i="1"/>
  <c r="A3515" i="1"/>
  <c r="B3515" i="1"/>
  <c r="C3515" i="1"/>
  <c r="D3515" i="1"/>
  <c r="A3516" i="1"/>
  <c r="B3516" i="1"/>
  <c r="C3516" i="1"/>
  <c r="D3516" i="1"/>
  <c r="A3517" i="1"/>
  <c r="B3517" i="1"/>
  <c r="C3517" i="1"/>
  <c r="D3517" i="1"/>
  <c r="A3518" i="1"/>
  <c r="B3518" i="1"/>
  <c r="C3518" i="1"/>
  <c r="D3518" i="1"/>
  <c r="A3519" i="1"/>
  <c r="B3519" i="1"/>
  <c r="C3519" i="1"/>
  <c r="D3519" i="1"/>
  <c r="A3520" i="1"/>
  <c r="B3520" i="1"/>
  <c r="C3520" i="1"/>
  <c r="D3520" i="1"/>
  <c r="A3521" i="1"/>
  <c r="B3521" i="1"/>
  <c r="C3521" i="1"/>
  <c r="D3521" i="1"/>
  <c r="A3522" i="1"/>
  <c r="B3522" i="1"/>
  <c r="C3522" i="1"/>
  <c r="D3522" i="1"/>
  <c r="A3523" i="1"/>
  <c r="B3523" i="1"/>
  <c r="C3523" i="1"/>
  <c r="D3523" i="1"/>
  <c r="A3524" i="1"/>
  <c r="B3524" i="1"/>
  <c r="C3524" i="1"/>
  <c r="D3524" i="1"/>
  <c r="A3525" i="1"/>
  <c r="B3525" i="1"/>
  <c r="C3525" i="1"/>
  <c r="D3525" i="1"/>
  <c r="A3526" i="1"/>
  <c r="B3526" i="1"/>
  <c r="C3526" i="1"/>
  <c r="D3526" i="1"/>
  <c r="A3527" i="1"/>
  <c r="B3527" i="1"/>
  <c r="C3527" i="1"/>
  <c r="D3527" i="1"/>
  <c r="A3528" i="1"/>
  <c r="B3528" i="1"/>
  <c r="C3528" i="1"/>
  <c r="D3528" i="1"/>
  <c r="A3529" i="1"/>
  <c r="B3529" i="1"/>
  <c r="C3529" i="1"/>
  <c r="D3529" i="1"/>
  <c r="A3530" i="1"/>
  <c r="B3530" i="1"/>
  <c r="C3530" i="1"/>
  <c r="D3530" i="1"/>
  <c r="A3531" i="1"/>
  <c r="B3531" i="1"/>
  <c r="C3531" i="1"/>
  <c r="D3531" i="1"/>
  <c r="A3532" i="1"/>
  <c r="B3532" i="1"/>
  <c r="C3532" i="1"/>
  <c r="D3532" i="1"/>
  <c r="A3533" i="1"/>
  <c r="B3533" i="1"/>
  <c r="C3533" i="1"/>
  <c r="D3533" i="1"/>
  <c r="A3534" i="1"/>
  <c r="B3534" i="1"/>
  <c r="C3534" i="1"/>
  <c r="D3534" i="1"/>
  <c r="A3535" i="1"/>
  <c r="B3535" i="1"/>
  <c r="C3535" i="1"/>
  <c r="D3535" i="1"/>
  <c r="A3536" i="1"/>
  <c r="B3536" i="1"/>
  <c r="C3536" i="1"/>
  <c r="D3536" i="1"/>
  <c r="A3537" i="1"/>
  <c r="B3537" i="1"/>
  <c r="C3537" i="1"/>
  <c r="D3537" i="1"/>
  <c r="A3538" i="1"/>
  <c r="B3538" i="1"/>
  <c r="C3538" i="1"/>
  <c r="D3538" i="1"/>
  <c r="A3539" i="1"/>
  <c r="B3539" i="1"/>
  <c r="C3539" i="1"/>
  <c r="D3539" i="1"/>
  <c r="A3540" i="1"/>
  <c r="B3540" i="1"/>
  <c r="C3540" i="1"/>
  <c r="D3540" i="1"/>
  <c r="A3541" i="1"/>
  <c r="B3541" i="1"/>
  <c r="C3541" i="1"/>
  <c r="D3541" i="1"/>
  <c r="A3542" i="1"/>
  <c r="B3542" i="1"/>
  <c r="C3542" i="1"/>
  <c r="D3542" i="1"/>
  <c r="A3543" i="1"/>
  <c r="B3543" i="1"/>
  <c r="C3543" i="1"/>
  <c r="D3543" i="1"/>
  <c r="A3544" i="1"/>
  <c r="B3544" i="1"/>
  <c r="C3544" i="1"/>
  <c r="D3544" i="1"/>
  <c r="A3545" i="1"/>
  <c r="B3545" i="1"/>
  <c r="C3545" i="1"/>
  <c r="D3545" i="1"/>
  <c r="A3546" i="1"/>
  <c r="B3546" i="1"/>
  <c r="C3546" i="1"/>
  <c r="D3546" i="1"/>
  <c r="A3547" i="1"/>
  <c r="B3547" i="1"/>
  <c r="C3547" i="1"/>
  <c r="D3547" i="1"/>
  <c r="A3548" i="1"/>
  <c r="B3548" i="1"/>
  <c r="C3548" i="1"/>
  <c r="D3548" i="1"/>
  <c r="A3549" i="1"/>
  <c r="B3549" i="1"/>
  <c r="C3549" i="1"/>
  <c r="D3549" i="1"/>
  <c r="A3550" i="1"/>
  <c r="B3550" i="1"/>
  <c r="C3550" i="1"/>
  <c r="D3550" i="1"/>
  <c r="A3551" i="1"/>
  <c r="B3551" i="1"/>
  <c r="C3551" i="1"/>
  <c r="D3551" i="1"/>
  <c r="A3552" i="1"/>
  <c r="B3552" i="1"/>
  <c r="C3552" i="1"/>
  <c r="D3552" i="1"/>
  <c r="A3553" i="1"/>
  <c r="B3553" i="1"/>
  <c r="C3553" i="1"/>
  <c r="D3553" i="1"/>
  <c r="A3554" i="1"/>
  <c r="B3554" i="1"/>
  <c r="C3554" i="1"/>
  <c r="D3554" i="1"/>
  <c r="A3555" i="1"/>
  <c r="B3555" i="1"/>
  <c r="C3555" i="1"/>
  <c r="D3555" i="1"/>
  <c r="A3556" i="1"/>
  <c r="B3556" i="1"/>
  <c r="C3556" i="1"/>
  <c r="D3556" i="1"/>
  <c r="A3557" i="1"/>
  <c r="B3557" i="1"/>
  <c r="C3557" i="1"/>
  <c r="D3557" i="1"/>
  <c r="A3558" i="1"/>
  <c r="B3558" i="1"/>
  <c r="C3558" i="1"/>
  <c r="D3558" i="1"/>
  <c r="A3559" i="1"/>
  <c r="B3559" i="1"/>
  <c r="C3559" i="1"/>
  <c r="D3559" i="1"/>
  <c r="A3560" i="1"/>
  <c r="B3560" i="1"/>
  <c r="C3560" i="1"/>
  <c r="D3560" i="1"/>
  <c r="A3561" i="1"/>
  <c r="B3561" i="1"/>
  <c r="C3561" i="1"/>
  <c r="D3561" i="1"/>
  <c r="A3562" i="1"/>
  <c r="B3562" i="1"/>
  <c r="C3562" i="1"/>
  <c r="D3562" i="1"/>
  <c r="A3563" i="1"/>
  <c r="B3563" i="1"/>
  <c r="C3563" i="1"/>
  <c r="D3563" i="1"/>
  <c r="A3564" i="1"/>
  <c r="B3564" i="1"/>
  <c r="C3564" i="1"/>
  <c r="D3564" i="1"/>
  <c r="A3565" i="1"/>
  <c r="B3565" i="1"/>
  <c r="C3565" i="1"/>
  <c r="D3565" i="1"/>
  <c r="A3566" i="1"/>
  <c r="B3566" i="1"/>
  <c r="C3566" i="1"/>
  <c r="D3566" i="1"/>
  <c r="A3567" i="1"/>
  <c r="B3567" i="1"/>
  <c r="C3567" i="1"/>
  <c r="D3567" i="1"/>
  <c r="A3568" i="1"/>
  <c r="B3568" i="1"/>
  <c r="C3568" i="1"/>
  <c r="D3568" i="1"/>
  <c r="A3569" i="1"/>
  <c r="B3569" i="1"/>
  <c r="C3569" i="1"/>
  <c r="D3569" i="1"/>
  <c r="A3570" i="1"/>
  <c r="B3570" i="1"/>
  <c r="C3570" i="1"/>
  <c r="D3570" i="1"/>
  <c r="A3571" i="1"/>
  <c r="B3571" i="1"/>
  <c r="C3571" i="1"/>
  <c r="D3571" i="1"/>
  <c r="A3572" i="1"/>
  <c r="B3572" i="1"/>
  <c r="C3572" i="1"/>
  <c r="D3572" i="1"/>
  <c r="A3573" i="1"/>
  <c r="B3573" i="1"/>
  <c r="C3573" i="1"/>
  <c r="D3573" i="1"/>
  <c r="A3574" i="1"/>
  <c r="B3574" i="1"/>
  <c r="C3574" i="1"/>
  <c r="D3574" i="1"/>
  <c r="A3575" i="1"/>
  <c r="B3575" i="1"/>
  <c r="C3575" i="1"/>
  <c r="D3575" i="1"/>
  <c r="A3576" i="1"/>
  <c r="B3576" i="1"/>
  <c r="C3576" i="1"/>
  <c r="D3576" i="1"/>
  <c r="A3577" i="1"/>
  <c r="B3577" i="1"/>
  <c r="C3577" i="1"/>
  <c r="D3577" i="1"/>
  <c r="A3578" i="1"/>
  <c r="B3578" i="1"/>
  <c r="C3578" i="1"/>
  <c r="D3578" i="1"/>
  <c r="A3579" i="1"/>
  <c r="B3579" i="1"/>
  <c r="C3579" i="1"/>
  <c r="D3579" i="1"/>
  <c r="A3580" i="1"/>
  <c r="B3580" i="1"/>
  <c r="C3580" i="1"/>
  <c r="D3580" i="1"/>
  <c r="A3581" i="1"/>
  <c r="B3581" i="1"/>
  <c r="C3581" i="1"/>
  <c r="D3581" i="1"/>
  <c r="A3582" i="1"/>
  <c r="B3582" i="1"/>
  <c r="C3582" i="1"/>
  <c r="D3582" i="1"/>
  <c r="A3583" i="1"/>
  <c r="B3583" i="1"/>
  <c r="C3583" i="1"/>
  <c r="D3583" i="1"/>
  <c r="A3584" i="1"/>
  <c r="B3584" i="1"/>
  <c r="C3584" i="1"/>
  <c r="D3584" i="1"/>
  <c r="A3585" i="1"/>
  <c r="B3585" i="1"/>
  <c r="C3585" i="1"/>
  <c r="D3585" i="1"/>
  <c r="A3586" i="1"/>
  <c r="B3586" i="1"/>
  <c r="C3586" i="1"/>
  <c r="D3586" i="1"/>
  <c r="A3587" i="1"/>
  <c r="B3587" i="1"/>
  <c r="C3587" i="1"/>
  <c r="D3587" i="1"/>
  <c r="A3588" i="1"/>
  <c r="B3588" i="1"/>
  <c r="C3588" i="1"/>
  <c r="D3588" i="1"/>
  <c r="A3589" i="1"/>
  <c r="B3589" i="1"/>
  <c r="C3589" i="1"/>
  <c r="D3589" i="1"/>
  <c r="A3590" i="1"/>
  <c r="B3590" i="1"/>
  <c r="C3590" i="1"/>
  <c r="D3590" i="1"/>
  <c r="A3591" i="1"/>
  <c r="B3591" i="1"/>
  <c r="C3591" i="1"/>
  <c r="D3591" i="1"/>
  <c r="A3592" i="1"/>
  <c r="B3592" i="1"/>
  <c r="C3592" i="1"/>
  <c r="D3592" i="1"/>
  <c r="A3593" i="1"/>
  <c r="B3593" i="1"/>
  <c r="C3593" i="1"/>
  <c r="D3593" i="1"/>
  <c r="A3594" i="1"/>
  <c r="B3594" i="1"/>
  <c r="C3594" i="1"/>
  <c r="D3594" i="1"/>
  <c r="A3595" i="1"/>
  <c r="B3595" i="1"/>
  <c r="C3595" i="1"/>
  <c r="D3595" i="1"/>
  <c r="A3596" i="1"/>
  <c r="B3596" i="1"/>
  <c r="C3596" i="1"/>
  <c r="D3596" i="1"/>
  <c r="A3597" i="1"/>
  <c r="B3597" i="1"/>
  <c r="C3597" i="1"/>
  <c r="D3597" i="1"/>
  <c r="A3598" i="1"/>
  <c r="B3598" i="1"/>
  <c r="C3598" i="1"/>
  <c r="D3598" i="1"/>
  <c r="A3599" i="1"/>
  <c r="B3599" i="1"/>
  <c r="C3599" i="1"/>
  <c r="D3599" i="1"/>
  <c r="A3600" i="1"/>
  <c r="B3600" i="1"/>
  <c r="C3600" i="1"/>
  <c r="D3600" i="1"/>
  <c r="A3601" i="1"/>
  <c r="B3601" i="1"/>
  <c r="C3601" i="1"/>
  <c r="D3601" i="1"/>
  <c r="A3602" i="1"/>
  <c r="B3602" i="1"/>
  <c r="C3602" i="1"/>
  <c r="D3602" i="1"/>
  <c r="A3603" i="1"/>
  <c r="B3603" i="1"/>
  <c r="C3603" i="1"/>
  <c r="D3603" i="1"/>
  <c r="A3604" i="1"/>
  <c r="B3604" i="1"/>
  <c r="C3604" i="1"/>
  <c r="D3604" i="1"/>
  <c r="A3605" i="1"/>
  <c r="B3605" i="1"/>
  <c r="C3605" i="1"/>
  <c r="D3605" i="1"/>
  <c r="A3606" i="1"/>
  <c r="B3606" i="1"/>
  <c r="C3606" i="1"/>
  <c r="D3606" i="1"/>
  <c r="A3607" i="1"/>
  <c r="B3607" i="1"/>
  <c r="C3607" i="1"/>
  <c r="D3607" i="1"/>
  <c r="A3608" i="1"/>
  <c r="B3608" i="1"/>
  <c r="C3608" i="1"/>
  <c r="D3608" i="1"/>
  <c r="A3609" i="1"/>
  <c r="B3609" i="1"/>
  <c r="C3609" i="1"/>
  <c r="D3609" i="1"/>
  <c r="A3610" i="1"/>
  <c r="B3610" i="1"/>
  <c r="C3610" i="1"/>
  <c r="D3610" i="1"/>
  <c r="A3611" i="1"/>
  <c r="B3611" i="1"/>
  <c r="C3611" i="1"/>
  <c r="D3611" i="1"/>
  <c r="A3612" i="1"/>
  <c r="B3612" i="1"/>
  <c r="C3612" i="1"/>
  <c r="D3612" i="1"/>
  <c r="A3613" i="1"/>
  <c r="B3613" i="1"/>
  <c r="C3613" i="1"/>
  <c r="D3613" i="1"/>
  <c r="A3614" i="1"/>
  <c r="B3614" i="1"/>
  <c r="C3614" i="1"/>
  <c r="D3614" i="1"/>
  <c r="A3615" i="1"/>
  <c r="B3615" i="1"/>
  <c r="C3615" i="1"/>
  <c r="D3615" i="1"/>
  <c r="A3616" i="1"/>
  <c r="B3616" i="1"/>
  <c r="C3616" i="1"/>
  <c r="D3616" i="1"/>
  <c r="A3617" i="1"/>
  <c r="B3617" i="1"/>
  <c r="C3617" i="1"/>
  <c r="D3617" i="1"/>
  <c r="A3618" i="1"/>
  <c r="B3618" i="1"/>
  <c r="C3618" i="1"/>
  <c r="D3618" i="1"/>
  <c r="A3619" i="1"/>
  <c r="B3619" i="1"/>
  <c r="C3619" i="1"/>
  <c r="D3619" i="1"/>
  <c r="A3620" i="1"/>
  <c r="B3620" i="1"/>
  <c r="C3620" i="1"/>
  <c r="D3620" i="1"/>
  <c r="A3621" i="1"/>
  <c r="B3621" i="1"/>
  <c r="C3621" i="1"/>
  <c r="D3621" i="1"/>
  <c r="A3622" i="1"/>
  <c r="B3622" i="1"/>
  <c r="C3622" i="1"/>
  <c r="D3622" i="1"/>
  <c r="A3623" i="1"/>
  <c r="B3623" i="1"/>
  <c r="C3623" i="1"/>
  <c r="D3623" i="1"/>
  <c r="A3624" i="1"/>
  <c r="B3624" i="1"/>
  <c r="C3624" i="1"/>
  <c r="D3624" i="1"/>
  <c r="A3625" i="1"/>
  <c r="B3625" i="1"/>
  <c r="C3625" i="1"/>
  <c r="D3625" i="1"/>
  <c r="A3626" i="1"/>
  <c r="B3626" i="1"/>
  <c r="C3626" i="1"/>
  <c r="D3626" i="1"/>
  <c r="A3627" i="1"/>
  <c r="B3627" i="1"/>
  <c r="C3627" i="1"/>
  <c r="D3627" i="1"/>
  <c r="A3628" i="1"/>
  <c r="B3628" i="1"/>
  <c r="C3628" i="1"/>
  <c r="D3628" i="1"/>
  <c r="A3629" i="1"/>
  <c r="B3629" i="1"/>
  <c r="C3629" i="1"/>
  <c r="D3629" i="1"/>
  <c r="A3630" i="1"/>
  <c r="B3630" i="1"/>
  <c r="C3630" i="1"/>
  <c r="D3630" i="1"/>
  <c r="A3631" i="1"/>
  <c r="B3631" i="1"/>
  <c r="C3631" i="1"/>
  <c r="D3631" i="1"/>
  <c r="A3632" i="1"/>
  <c r="B3632" i="1"/>
  <c r="C3632" i="1"/>
  <c r="D3632" i="1"/>
  <c r="A3633" i="1"/>
  <c r="B3633" i="1"/>
  <c r="C3633" i="1"/>
  <c r="D3633" i="1"/>
  <c r="A3634" i="1"/>
  <c r="B3634" i="1"/>
  <c r="C3634" i="1"/>
  <c r="D3634" i="1"/>
  <c r="A3635" i="1"/>
  <c r="B3635" i="1"/>
  <c r="C3635" i="1"/>
  <c r="D3635" i="1"/>
  <c r="A3636" i="1"/>
  <c r="B3636" i="1"/>
  <c r="C3636" i="1"/>
  <c r="D3636" i="1"/>
  <c r="A3637" i="1"/>
  <c r="B3637" i="1"/>
  <c r="C3637" i="1"/>
  <c r="D3637" i="1"/>
  <c r="A3638" i="1"/>
  <c r="B3638" i="1"/>
  <c r="C3638" i="1"/>
  <c r="D3638" i="1"/>
  <c r="A3639" i="1"/>
  <c r="B3639" i="1"/>
  <c r="C3639" i="1"/>
  <c r="D3639" i="1"/>
  <c r="A3640" i="1"/>
  <c r="B3640" i="1"/>
  <c r="C3640" i="1"/>
  <c r="D3640" i="1"/>
  <c r="A3641" i="1"/>
  <c r="B3641" i="1"/>
  <c r="C3641" i="1"/>
  <c r="D3641" i="1"/>
  <c r="A3642" i="1"/>
  <c r="B3642" i="1"/>
  <c r="C3642" i="1"/>
  <c r="D3642" i="1"/>
  <c r="A3643" i="1"/>
  <c r="B3643" i="1"/>
  <c r="C3643" i="1"/>
  <c r="D3643" i="1"/>
  <c r="A3644" i="1"/>
  <c r="B3644" i="1"/>
  <c r="C3644" i="1"/>
  <c r="D3644" i="1"/>
  <c r="A3645" i="1"/>
  <c r="B3645" i="1"/>
  <c r="C3645" i="1"/>
  <c r="D3645" i="1"/>
  <c r="A3646" i="1"/>
  <c r="B3646" i="1"/>
  <c r="C3646" i="1"/>
  <c r="D3646" i="1"/>
  <c r="A3647" i="1"/>
  <c r="B3647" i="1"/>
  <c r="C3647" i="1"/>
  <c r="D3647" i="1"/>
  <c r="A3648" i="1"/>
  <c r="B3648" i="1"/>
  <c r="C3648" i="1"/>
  <c r="D3648" i="1"/>
  <c r="A3649" i="1"/>
  <c r="B3649" i="1"/>
  <c r="C3649" i="1"/>
  <c r="D3649" i="1"/>
  <c r="A3650" i="1"/>
  <c r="B3650" i="1"/>
  <c r="C3650" i="1"/>
  <c r="D3650" i="1"/>
  <c r="A3651" i="1"/>
  <c r="B3651" i="1"/>
  <c r="C3651" i="1"/>
  <c r="D3651" i="1"/>
  <c r="A3652" i="1"/>
  <c r="B3652" i="1"/>
  <c r="C3652" i="1"/>
  <c r="D3652" i="1"/>
  <c r="A3653" i="1"/>
  <c r="B3653" i="1"/>
  <c r="C3653" i="1"/>
  <c r="D3653" i="1"/>
  <c r="A3654" i="1"/>
  <c r="B3654" i="1"/>
  <c r="C3654" i="1"/>
  <c r="D3654" i="1"/>
  <c r="A3655" i="1"/>
  <c r="B3655" i="1"/>
  <c r="C3655" i="1"/>
  <c r="D3655" i="1"/>
  <c r="A3656" i="1"/>
  <c r="B3656" i="1"/>
  <c r="C3656" i="1"/>
  <c r="D3656" i="1"/>
  <c r="A3657" i="1"/>
  <c r="B3657" i="1"/>
  <c r="C3657" i="1"/>
  <c r="D3657" i="1"/>
  <c r="A3658" i="1"/>
  <c r="B3658" i="1"/>
  <c r="C3658" i="1"/>
  <c r="D3658" i="1"/>
  <c r="A3659" i="1"/>
  <c r="B3659" i="1"/>
  <c r="C3659" i="1"/>
  <c r="D3659" i="1"/>
  <c r="A3660" i="1"/>
  <c r="B3660" i="1"/>
  <c r="C3660" i="1"/>
  <c r="D3660" i="1"/>
  <c r="A3661" i="1"/>
  <c r="B3661" i="1"/>
  <c r="C3661" i="1"/>
  <c r="D3661" i="1"/>
  <c r="A3662" i="1"/>
  <c r="B3662" i="1"/>
  <c r="C3662" i="1"/>
  <c r="D3662" i="1"/>
  <c r="A3663" i="1"/>
  <c r="B3663" i="1"/>
  <c r="C3663" i="1"/>
  <c r="D3663" i="1"/>
  <c r="A3664" i="1"/>
  <c r="B3664" i="1"/>
  <c r="C3664" i="1"/>
  <c r="D3664" i="1"/>
  <c r="A3665" i="1"/>
  <c r="B3665" i="1"/>
  <c r="C3665" i="1"/>
  <c r="D3665" i="1"/>
  <c r="A3666" i="1"/>
  <c r="B3666" i="1"/>
  <c r="C3666" i="1"/>
  <c r="D3666" i="1"/>
  <c r="A3667" i="1"/>
  <c r="B3667" i="1"/>
  <c r="C3667" i="1"/>
  <c r="D3667" i="1"/>
  <c r="A3668" i="1"/>
  <c r="B3668" i="1"/>
  <c r="C3668" i="1"/>
  <c r="D3668" i="1"/>
  <c r="A3669" i="1"/>
  <c r="B3669" i="1"/>
  <c r="C3669" i="1"/>
  <c r="D3669" i="1"/>
  <c r="A3670" i="1"/>
  <c r="B3670" i="1"/>
  <c r="C3670" i="1"/>
  <c r="D3670" i="1"/>
  <c r="A3671" i="1"/>
  <c r="B3671" i="1"/>
  <c r="C3671" i="1"/>
  <c r="D3671" i="1"/>
  <c r="A3672" i="1"/>
  <c r="B3672" i="1"/>
  <c r="C3672" i="1"/>
  <c r="D3672" i="1"/>
  <c r="A3673" i="1"/>
  <c r="B3673" i="1"/>
  <c r="C3673" i="1"/>
  <c r="D3673" i="1"/>
  <c r="A3674" i="1"/>
  <c r="B3674" i="1"/>
  <c r="C3674" i="1"/>
  <c r="D3674" i="1"/>
  <c r="A3675" i="1"/>
  <c r="B3675" i="1"/>
  <c r="C3675" i="1"/>
  <c r="D3675" i="1"/>
  <c r="A3676" i="1"/>
  <c r="B3676" i="1"/>
  <c r="C3676" i="1"/>
  <c r="D3676" i="1"/>
  <c r="A3677" i="1"/>
  <c r="B3677" i="1"/>
  <c r="C3677" i="1"/>
  <c r="D3677" i="1"/>
  <c r="A3678" i="1"/>
  <c r="B3678" i="1"/>
  <c r="C3678" i="1"/>
  <c r="D3678" i="1"/>
  <c r="A3679" i="1"/>
  <c r="B3679" i="1"/>
  <c r="C3679" i="1"/>
  <c r="D3679" i="1"/>
  <c r="A3680" i="1"/>
  <c r="B3680" i="1"/>
  <c r="C3680" i="1"/>
  <c r="D3680" i="1"/>
  <c r="A3681" i="1"/>
  <c r="B3681" i="1"/>
  <c r="C3681" i="1"/>
  <c r="D3681" i="1"/>
  <c r="A3682" i="1"/>
  <c r="B3682" i="1"/>
  <c r="C3682" i="1"/>
  <c r="D3682" i="1"/>
  <c r="A3683" i="1"/>
  <c r="B3683" i="1"/>
  <c r="C3683" i="1"/>
  <c r="D3683" i="1"/>
  <c r="A3684" i="1"/>
  <c r="B3684" i="1"/>
  <c r="C3684" i="1"/>
  <c r="D3684" i="1"/>
  <c r="A3685" i="1"/>
  <c r="B3685" i="1"/>
  <c r="C3685" i="1"/>
  <c r="D3685" i="1"/>
  <c r="A3686" i="1"/>
  <c r="B3686" i="1"/>
  <c r="C3686" i="1"/>
  <c r="D3686" i="1"/>
  <c r="A3687" i="1"/>
  <c r="B3687" i="1"/>
  <c r="C3687" i="1"/>
  <c r="D3687" i="1"/>
  <c r="A3688" i="1"/>
  <c r="B3688" i="1"/>
  <c r="C3688" i="1"/>
  <c r="D3688" i="1"/>
  <c r="A3689" i="1"/>
  <c r="B3689" i="1"/>
  <c r="C3689" i="1"/>
  <c r="D3689" i="1"/>
  <c r="A3690" i="1"/>
  <c r="B3690" i="1"/>
  <c r="C3690" i="1"/>
  <c r="D3690" i="1"/>
  <c r="A3691" i="1"/>
  <c r="B3691" i="1"/>
  <c r="C3691" i="1"/>
  <c r="D3691" i="1"/>
  <c r="A3692" i="1"/>
  <c r="B3692" i="1"/>
  <c r="C3692" i="1"/>
  <c r="D3692" i="1"/>
  <c r="A3693" i="1"/>
  <c r="B3693" i="1"/>
  <c r="C3693" i="1"/>
  <c r="D3693" i="1"/>
  <c r="A3694" i="1"/>
  <c r="B3694" i="1"/>
  <c r="C3694" i="1"/>
  <c r="D3694" i="1"/>
  <c r="A3695" i="1"/>
  <c r="B3695" i="1"/>
  <c r="C3695" i="1"/>
  <c r="D3695" i="1"/>
  <c r="A3696" i="1"/>
  <c r="B3696" i="1"/>
  <c r="C3696" i="1"/>
  <c r="D3696" i="1"/>
  <c r="A3697" i="1"/>
  <c r="B3697" i="1"/>
  <c r="C3697" i="1"/>
  <c r="D3697" i="1"/>
  <c r="A3698" i="1"/>
  <c r="B3698" i="1"/>
  <c r="C3698" i="1"/>
  <c r="D3698" i="1"/>
  <c r="A3699" i="1"/>
  <c r="B3699" i="1"/>
  <c r="C3699" i="1"/>
  <c r="D3699" i="1"/>
  <c r="A3700" i="1"/>
  <c r="B3700" i="1"/>
  <c r="C3700" i="1"/>
  <c r="D3700" i="1"/>
  <c r="A3701" i="1"/>
  <c r="B3701" i="1"/>
  <c r="C3701" i="1"/>
  <c r="D3701" i="1"/>
  <c r="A3702" i="1"/>
  <c r="B3702" i="1"/>
  <c r="C3702" i="1"/>
  <c r="D3702" i="1"/>
  <c r="A3703" i="1"/>
  <c r="B3703" i="1"/>
  <c r="C3703" i="1"/>
  <c r="D3703" i="1"/>
  <c r="A3704" i="1"/>
  <c r="B3704" i="1"/>
  <c r="C3704" i="1"/>
  <c r="D3704" i="1"/>
  <c r="A3705" i="1"/>
  <c r="B3705" i="1"/>
  <c r="C3705" i="1"/>
  <c r="D3705" i="1"/>
  <c r="A3706" i="1"/>
  <c r="B3706" i="1"/>
  <c r="C3706" i="1"/>
  <c r="D3706" i="1"/>
  <c r="A3707" i="1"/>
  <c r="B3707" i="1"/>
  <c r="C3707" i="1"/>
  <c r="D3707" i="1"/>
  <c r="A3708" i="1"/>
  <c r="B3708" i="1"/>
  <c r="C3708" i="1"/>
  <c r="D3708" i="1"/>
  <c r="A3709" i="1"/>
  <c r="B3709" i="1"/>
  <c r="C3709" i="1"/>
  <c r="D3709" i="1"/>
  <c r="A3710" i="1"/>
  <c r="B3710" i="1"/>
  <c r="C3710" i="1"/>
  <c r="D3710" i="1"/>
  <c r="A3711" i="1"/>
  <c r="B3711" i="1"/>
  <c r="C3711" i="1"/>
  <c r="D3711" i="1"/>
  <c r="A3712" i="1"/>
  <c r="B3712" i="1"/>
  <c r="C3712" i="1"/>
  <c r="D3712" i="1"/>
  <c r="A3713" i="1"/>
  <c r="B3713" i="1"/>
  <c r="C3713" i="1"/>
  <c r="D3713" i="1"/>
  <c r="A3714" i="1"/>
  <c r="B3714" i="1"/>
  <c r="C3714" i="1"/>
  <c r="D3714" i="1"/>
  <c r="A3715" i="1"/>
  <c r="B3715" i="1"/>
  <c r="C3715" i="1"/>
  <c r="D3715" i="1"/>
  <c r="A3716" i="1"/>
  <c r="B3716" i="1"/>
  <c r="C3716" i="1"/>
  <c r="D3716" i="1"/>
  <c r="A3717" i="1"/>
  <c r="B3717" i="1"/>
  <c r="C3717" i="1"/>
  <c r="D3717" i="1"/>
  <c r="A3718" i="1"/>
  <c r="B3718" i="1"/>
  <c r="C3718" i="1"/>
  <c r="D3718" i="1"/>
  <c r="A3719" i="1"/>
  <c r="B3719" i="1"/>
  <c r="C3719" i="1"/>
  <c r="D3719" i="1"/>
  <c r="A3720" i="1"/>
  <c r="B3720" i="1"/>
  <c r="C3720" i="1"/>
  <c r="D3720" i="1"/>
  <c r="A3721" i="1"/>
  <c r="B3721" i="1"/>
  <c r="C3721" i="1"/>
  <c r="D3721" i="1"/>
  <c r="A3722" i="1"/>
  <c r="B3722" i="1"/>
  <c r="C3722" i="1"/>
  <c r="D3722" i="1"/>
  <c r="A3723" i="1"/>
  <c r="B3723" i="1"/>
  <c r="C3723" i="1"/>
  <c r="D3723" i="1"/>
  <c r="A3724" i="1"/>
  <c r="B3724" i="1"/>
  <c r="C3724" i="1"/>
  <c r="D3724" i="1"/>
  <c r="A3725" i="1"/>
  <c r="B3725" i="1"/>
  <c r="C3725" i="1"/>
  <c r="D3725" i="1"/>
  <c r="A3726" i="1"/>
  <c r="B3726" i="1"/>
  <c r="C3726" i="1"/>
  <c r="D3726" i="1"/>
  <c r="A3727" i="1"/>
  <c r="B3727" i="1"/>
  <c r="C3727" i="1"/>
  <c r="D3727" i="1"/>
  <c r="A3728" i="1"/>
  <c r="B3728" i="1"/>
  <c r="C3728" i="1"/>
  <c r="D3728" i="1"/>
  <c r="A3729" i="1"/>
  <c r="B3729" i="1"/>
  <c r="C3729" i="1"/>
  <c r="D3729" i="1"/>
  <c r="A3730" i="1"/>
  <c r="B3730" i="1"/>
  <c r="C3730" i="1"/>
  <c r="D3730" i="1"/>
  <c r="A3731" i="1"/>
  <c r="B3731" i="1"/>
  <c r="C3731" i="1"/>
  <c r="D3731" i="1"/>
  <c r="A3732" i="1"/>
  <c r="B3732" i="1"/>
  <c r="C3732" i="1"/>
  <c r="D3732" i="1"/>
  <c r="A3733" i="1"/>
  <c r="B3733" i="1"/>
  <c r="C3733" i="1"/>
  <c r="D3733" i="1"/>
  <c r="A3734" i="1"/>
  <c r="B3734" i="1"/>
  <c r="C3734" i="1"/>
  <c r="D3734" i="1"/>
  <c r="A3735" i="1"/>
  <c r="B3735" i="1"/>
  <c r="C3735" i="1"/>
  <c r="D3735" i="1"/>
  <c r="A3736" i="1"/>
  <c r="B3736" i="1"/>
  <c r="C3736" i="1"/>
  <c r="D3736" i="1"/>
  <c r="A3737" i="1"/>
  <c r="B3737" i="1"/>
  <c r="C3737" i="1"/>
  <c r="D3737" i="1"/>
  <c r="A3738" i="1"/>
  <c r="B3738" i="1"/>
  <c r="C3738" i="1"/>
  <c r="D3738" i="1"/>
  <c r="A3739" i="1"/>
  <c r="B3739" i="1"/>
  <c r="C3739" i="1"/>
  <c r="D3739" i="1"/>
  <c r="A3740" i="1"/>
  <c r="B3740" i="1"/>
  <c r="C3740" i="1"/>
  <c r="D3740" i="1"/>
  <c r="A3741" i="1"/>
  <c r="B3741" i="1"/>
  <c r="C3741" i="1"/>
  <c r="D3741" i="1"/>
  <c r="A3742" i="1"/>
  <c r="B3742" i="1"/>
  <c r="C3742" i="1"/>
  <c r="D3742" i="1"/>
  <c r="A3743" i="1"/>
  <c r="B3743" i="1"/>
  <c r="C3743" i="1"/>
  <c r="D3743" i="1"/>
  <c r="A3744" i="1"/>
  <c r="B3744" i="1"/>
  <c r="C3744" i="1"/>
  <c r="D3744" i="1"/>
  <c r="A3745" i="1"/>
  <c r="B3745" i="1"/>
  <c r="C3745" i="1"/>
  <c r="D3745" i="1"/>
  <c r="A3746" i="1"/>
  <c r="B3746" i="1"/>
  <c r="C3746" i="1"/>
  <c r="D3746" i="1"/>
  <c r="A3747" i="1"/>
  <c r="B3747" i="1"/>
  <c r="C3747" i="1"/>
  <c r="D3747" i="1"/>
  <c r="A3748" i="1"/>
  <c r="B3748" i="1"/>
  <c r="C3748" i="1"/>
  <c r="D3748" i="1"/>
  <c r="A3749" i="1"/>
  <c r="B3749" i="1"/>
  <c r="C3749" i="1"/>
  <c r="D3749" i="1"/>
  <c r="A3750" i="1"/>
  <c r="B3750" i="1"/>
  <c r="C3750" i="1"/>
  <c r="D3750" i="1"/>
  <c r="A3751" i="1"/>
  <c r="B3751" i="1"/>
  <c r="C3751" i="1"/>
  <c r="D3751" i="1"/>
  <c r="A3752" i="1"/>
  <c r="B3752" i="1"/>
  <c r="C3752" i="1"/>
  <c r="D3752" i="1"/>
  <c r="A3753" i="1"/>
  <c r="B3753" i="1"/>
  <c r="C3753" i="1"/>
  <c r="D3753" i="1"/>
  <c r="A3754" i="1"/>
  <c r="B3754" i="1"/>
  <c r="C3754" i="1"/>
  <c r="D3754" i="1"/>
  <c r="A3755" i="1"/>
  <c r="B3755" i="1"/>
  <c r="C3755" i="1"/>
  <c r="D3755" i="1"/>
  <c r="A3756" i="1"/>
  <c r="B3756" i="1"/>
  <c r="C3756" i="1"/>
  <c r="D3756" i="1"/>
  <c r="A3757" i="1"/>
  <c r="B3757" i="1"/>
  <c r="C3757" i="1"/>
  <c r="D3757" i="1"/>
  <c r="A3758" i="1"/>
  <c r="B3758" i="1"/>
  <c r="C3758" i="1"/>
  <c r="D3758" i="1"/>
  <c r="A3759" i="1"/>
  <c r="B3759" i="1"/>
  <c r="C3759" i="1"/>
  <c r="D3759" i="1"/>
  <c r="A3760" i="1"/>
  <c r="B3760" i="1"/>
  <c r="C3760" i="1"/>
  <c r="D3760" i="1"/>
  <c r="A3761" i="1"/>
  <c r="B3761" i="1"/>
  <c r="C3761" i="1"/>
  <c r="D3761" i="1"/>
  <c r="A3762" i="1"/>
  <c r="B3762" i="1"/>
  <c r="C3762" i="1"/>
  <c r="D3762" i="1"/>
  <c r="A3763" i="1"/>
  <c r="B3763" i="1"/>
  <c r="C3763" i="1"/>
  <c r="D3763" i="1"/>
  <c r="A3764" i="1"/>
  <c r="B3764" i="1"/>
  <c r="C3764" i="1"/>
  <c r="D3764" i="1"/>
  <c r="A3765" i="1"/>
  <c r="B3765" i="1"/>
  <c r="C3765" i="1"/>
  <c r="D3765" i="1"/>
  <c r="A3766" i="1"/>
  <c r="B3766" i="1"/>
  <c r="C3766" i="1"/>
  <c r="D3766" i="1"/>
  <c r="A3767" i="1"/>
  <c r="B3767" i="1"/>
  <c r="C3767" i="1"/>
  <c r="D3767" i="1"/>
  <c r="A3768" i="1"/>
  <c r="B3768" i="1"/>
  <c r="C3768" i="1"/>
  <c r="D3768" i="1"/>
  <c r="A3769" i="1"/>
  <c r="B3769" i="1"/>
  <c r="C3769" i="1"/>
  <c r="D3769" i="1"/>
  <c r="A3770" i="1"/>
  <c r="B3770" i="1"/>
  <c r="C3770" i="1"/>
  <c r="D3770" i="1"/>
  <c r="A3771" i="1"/>
  <c r="B3771" i="1"/>
  <c r="C3771" i="1"/>
  <c r="D3771" i="1"/>
  <c r="A3772" i="1"/>
  <c r="B3772" i="1"/>
  <c r="C3772" i="1"/>
  <c r="D3772" i="1"/>
  <c r="A3773" i="1"/>
  <c r="B3773" i="1"/>
  <c r="C3773" i="1"/>
  <c r="D3773" i="1"/>
  <c r="A3774" i="1"/>
  <c r="B3774" i="1"/>
  <c r="C3774" i="1"/>
  <c r="D3774" i="1"/>
  <c r="A3775" i="1"/>
  <c r="B3775" i="1"/>
  <c r="C3775" i="1"/>
  <c r="D3775" i="1"/>
  <c r="A3776" i="1"/>
  <c r="B3776" i="1"/>
  <c r="C3776" i="1"/>
  <c r="D3776" i="1"/>
  <c r="A3777" i="1"/>
  <c r="B3777" i="1"/>
  <c r="C3777" i="1"/>
  <c r="D3777" i="1"/>
  <c r="A3778" i="1"/>
  <c r="B3778" i="1"/>
  <c r="C3778" i="1"/>
  <c r="D3778" i="1"/>
  <c r="A3779" i="1"/>
  <c r="B3779" i="1"/>
  <c r="C3779" i="1"/>
  <c r="D3779" i="1"/>
  <c r="A3780" i="1"/>
  <c r="B3780" i="1"/>
  <c r="C3780" i="1"/>
  <c r="D3780" i="1"/>
  <c r="A3781" i="1"/>
  <c r="B3781" i="1"/>
  <c r="C3781" i="1"/>
  <c r="D3781" i="1"/>
  <c r="A3782" i="1"/>
  <c r="B3782" i="1"/>
  <c r="C3782" i="1"/>
  <c r="D3782" i="1"/>
  <c r="A3783" i="1"/>
  <c r="B3783" i="1"/>
  <c r="C3783" i="1"/>
  <c r="D3783" i="1"/>
  <c r="A3784" i="1"/>
  <c r="B3784" i="1"/>
  <c r="C3784" i="1"/>
  <c r="D3784" i="1"/>
  <c r="A3785" i="1"/>
  <c r="B3785" i="1"/>
  <c r="C3785" i="1"/>
  <c r="D3785" i="1"/>
  <c r="A3786" i="1"/>
  <c r="B3786" i="1"/>
  <c r="C3786" i="1"/>
  <c r="D3786" i="1"/>
  <c r="A3787" i="1"/>
  <c r="B3787" i="1"/>
  <c r="C3787" i="1"/>
  <c r="D3787" i="1"/>
  <c r="A3788" i="1"/>
  <c r="B3788" i="1"/>
  <c r="C3788" i="1"/>
  <c r="D3788" i="1"/>
  <c r="A3789" i="1"/>
  <c r="B3789" i="1"/>
  <c r="C3789" i="1"/>
  <c r="D3789" i="1"/>
  <c r="A3790" i="1"/>
  <c r="B3790" i="1"/>
  <c r="C3790" i="1"/>
  <c r="D3790" i="1"/>
  <c r="A3791" i="1"/>
  <c r="B3791" i="1"/>
  <c r="C3791" i="1"/>
  <c r="D3791" i="1"/>
  <c r="A3792" i="1"/>
  <c r="B3792" i="1"/>
  <c r="C3792" i="1"/>
  <c r="D3792" i="1"/>
  <c r="A3793" i="1"/>
  <c r="B3793" i="1"/>
  <c r="C3793" i="1"/>
  <c r="D3793" i="1"/>
  <c r="A3794" i="1"/>
  <c r="B3794" i="1"/>
  <c r="C3794" i="1"/>
  <c r="D3794" i="1"/>
  <c r="A3795" i="1"/>
  <c r="B3795" i="1"/>
  <c r="C3795" i="1"/>
  <c r="D3795" i="1"/>
  <c r="A3796" i="1"/>
  <c r="B3796" i="1"/>
  <c r="C3796" i="1"/>
  <c r="D3796" i="1"/>
  <c r="A3797" i="1"/>
  <c r="B3797" i="1"/>
  <c r="C3797" i="1"/>
  <c r="D3797" i="1"/>
  <c r="A3798" i="1"/>
  <c r="B3798" i="1"/>
  <c r="C3798" i="1"/>
  <c r="D3798" i="1"/>
  <c r="A3799" i="1"/>
  <c r="B3799" i="1"/>
  <c r="C3799" i="1"/>
  <c r="D3799" i="1"/>
  <c r="A3800" i="1"/>
  <c r="B3800" i="1"/>
  <c r="C3800" i="1"/>
  <c r="D3800" i="1"/>
  <c r="A3801" i="1"/>
  <c r="B3801" i="1"/>
  <c r="C3801" i="1"/>
  <c r="D3801" i="1"/>
  <c r="A3802" i="1"/>
  <c r="B3802" i="1"/>
  <c r="C3802" i="1"/>
  <c r="D3802" i="1"/>
  <c r="A3803" i="1"/>
  <c r="B3803" i="1"/>
  <c r="C3803" i="1"/>
  <c r="D3803" i="1"/>
  <c r="A3804" i="1"/>
  <c r="B3804" i="1"/>
  <c r="C3804" i="1"/>
  <c r="D3804" i="1"/>
  <c r="A3805" i="1"/>
  <c r="B3805" i="1"/>
  <c r="C3805" i="1"/>
  <c r="D3805" i="1"/>
  <c r="A3806" i="1"/>
  <c r="B3806" i="1"/>
  <c r="C3806" i="1"/>
  <c r="D3806" i="1"/>
  <c r="A3807" i="1"/>
  <c r="B3807" i="1"/>
  <c r="C3807" i="1"/>
  <c r="D3807" i="1"/>
  <c r="A3808" i="1"/>
  <c r="B3808" i="1"/>
  <c r="C3808" i="1"/>
  <c r="D3808" i="1"/>
  <c r="A3809" i="1"/>
  <c r="B3809" i="1"/>
  <c r="C3809" i="1"/>
  <c r="D3809" i="1"/>
  <c r="A3810" i="1"/>
  <c r="B3810" i="1"/>
  <c r="C3810" i="1"/>
  <c r="D3810" i="1"/>
  <c r="A3811" i="1"/>
  <c r="B3811" i="1"/>
  <c r="C3811" i="1"/>
  <c r="D3811" i="1"/>
  <c r="A3812" i="1"/>
  <c r="B3812" i="1"/>
  <c r="C3812" i="1"/>
  <c r="D3812" i="1"/>
  <c r="A3813" i="1"/>
  <c r="B3813" i="1"/>
  <c r="C3813" i="1"/>
  <c r="D3813" i="1"/>
  <c r="A3814" i="1"/>
  <c r="B3814" i="1"/>
  <c r="C3814" i="1"/>
  <c r="D3814" i="1"/>
  <c r="A3815" i="1"/>
  <c r="B3815" i="1"/>
  <c r="C3815" i="1"/>
  <c r="D3815" i="1"/>
  <c r="A3816" i="1"/>
  <c r="B3816" i="1"/>
  <c r="C3816" i="1"/>
  <c r="D3816" i="1"/>
  <c r="A3817" i="1"/>
  <c r="B3817" i="1"/>
  <c r="C3817" i="1"/>
  <c r="D3817" i="1"/>
  <c r="A3818" i="1"/>
  <c r="B3818" i="1"/>
  <c r="C3818" i="1"/>
  <c r="D3818" i="1"/>
  <c r="A3819" i="1"/>
  <c r="B3819" i="1"/>
  <c r="C3819" i="1"/>
  <c r="D3819" i="1"/>
  <c r="A3820" i="1"/>
  <c r="B3820" i="1"/>
  <c r="C3820" i="1"/>
  <c r="D3820" i="1"/>
  <c r="A3821" i="1"/>
  <c r="B3821" i="1"/>
  <c r="C3821" i="1"/>
  <c r="D3821" i="1"/>
  <c r="A3822" i="1"/>
  <c r="B3822" i="1"/>
  <c r="C3822" i="1"/>
  <c r="D3822" i="1"/>
  <c r="A3823" i="1"/>
  <c r="B3823" i="1"/>
  <c r="C3823" i="1"/>
  <c r="D3823" i="1"/>
  <c r="A3824" i="1"/>
  <c r="B3824" i="1"/>
  <c r="C3824" i="1"/>
  <c r="D3824" i="1"/>
  <c r="A3825" i="1"/>
  <c r="B3825" i="1"/>
  <c r="C3825" i="1"/>
  <c r="D3825" i="1"/>
  <c r="A3826" i="1"/>
  <c r="B3826" i="1"/>
  <c r="C3826" i="1"/>
  <c r="D3826" i="1"/>
  <c r="A3827" i="1"/>
  <c r="B3827" i="1"/>
  <c r="C3827" i="1"/>
  <c r="D3827" i="1"/>
  <c r="A3828" i="1"/>
  <c r="B3828" i="1"/>
  <c r="C3828" i="1"/>
  <c r="D3828" i="1"/>
  <c r="A3829" i="1"/>
  <c r="B3829" i="1"/>
  <c r="C3829" i="1"/>
  <c r="D3829" i="1"/>
  <c r="A3830" i="1"/>
  <c r="B3830" i="1"/>
  <c r="C3830" i="1"/>
  <c r="D3830" i="1"/>
  <c r="A3831" i="1"/>
  <c r="B3831" i="1"/>
  <c r="C3831" i="1"/>
  <c r="D3831" i="1"/>
  <c r="A3832" i="1"/>
  <c r="B3832" i="1"/>
  <c r="C3832" i="1"/>
  <c r="D3832" i="1"/>
  <c r="A3833" i="1"/>
  <c r="B3833" i="1"/>
  <c r="C3833" i="1"/>
  <c r="D3833" i="1"/>
  <c r="A3834" i="1"/>
  <c r="B3834" i="1"/>
  <c r="C3834" i="1"/>
  <c r="D3834" i="1"/>
  <c r="A3835" i="1"/>
  <c r="B3835" i="1"/>
  <c r="C3835" i="1"/>
  <c r="D3835" i="1"/>
  <c r="A3836" i="1"/>
  <c r="B3836" i="1"/>
  <c r="C3836" i="1"/>
  <c r="D3836" i="1"/>
  <c r="A3837" i="1"/>
  <c r="B3837" i="1"/>
  <c r="C3837" i="1"/>
  <c r="D3837" i="1"/>
  <c r="A3838" i="1"/>
  <c r="B3838" i="1"/>
  <c r="C3838" i="1"/>
  <c r="D3838" i="1"/>
  <c r="A3839" i="1"/>
  <c r="B3839" i="1"/>
  <c r="C3839" i="1"/>
  <c r="D3839" i="1"/>
  <c r="A3840" i="1"/>
  <c r="B3840" i="1"/>
  <c r="C3840" i="1"/>
  <c r="D3840" i="1"/>
  <c r="A3841" i="1"/>
  <c r="B3841" i="1"/>
  <c r="C3841" i="1"/>
  <c r="D3841" i="1"/>
  <c r="A3842" i="1"/>
  <c r="B3842" i="1"/>
  <c r="C3842" i="1"/>
  <c r="D3842" i="1"/>
  <c r="A3843" i="1"/>
  <c r="B3843" i="1"/>
  <c r="C3843" i="1"/>
  <c r="D3843" i="1"/>
  <c r="A3844" i="1"/>
  <c r="B3844" i="1"/>
  <c r="C3844" i="1"/>
  <c r="D3844" i="1"/>
  <c r="A3845" i="1"/>
  <c r="B3845" i="1"/>
  <c r="C3845" i="1"/>
  <c r="D3845" i="1"/>
  <c r="A3846" i="1"/>
  <c r="B3846" i="1"/>
  <c r="C3846" i="1"/>
  <c r="D3846" i="1"/>
  <c r="A3847" i="1"/>
  <c r="B3847" i="1"/>
  <c r="C3847" i="1"/>
  <c r="D3847" i="1"/>
  <c r="A3848" i="1"/>
  <c r="B3848" i="1"/>
  <c r="C3848" i="1"/>
  <c r="D3848" i="1"/>
  <c r="A3849" i="1"/>
  <c r="B3849" i="1"/>
  <c r="C3849" i="1"/>
  <c r="D3849" i="1"/>
  <c r="A3850" i="1"/>
  <c r="B3850" i="1"/>
  <c r="C3850" i="1"/>
  <c r="D3850" i="1"/>
  <c r="A3851" i="1"/>
  <c r="B3851" i="1"/>
  <c r="C3851" i="1"/>
  <c r="D3851" i="1"/>
  <c r="A3852" i="1"/>
  <c r="B3852" i="1"/>
  <c r="C3852" i="1"/>
  <c r="D3852" i="1"/>
  <c r="A3853" i="1"/>
  <c r="B3853" i="1"/>
  <c r="C3853" i="1"/>
  <c r="D3853" i="1"/>
  <c r="A3854" i="1"/>
  <c r="B3854" i="1"/>
  <c r="C3854" i="1"/>
  <c r="D3854" i="1"/>
  <c r="A3855" i="1"/>
  <c r="B3855" i="1"/>
  <c r="C3855" i="1"/>
  <c r="D3855" i="1"/>
  <c r="A3856" i="1"/>
  <c r="B3856" i="1"/>
  <c r="C3856" i="1"/>
  <c r="D3856" i="1"/>
  <c r="A3857" i="1"/>
  <c r="B3857" i="1"/>
  <c r="C3857" i="1"/>
  <c r="D3857" i="1"/>
  <c r="A3858" i="1"/>
  <c r="B3858" i="1"/>
  <c r="C3858" i="1"/>
  <c r="D3858" i="1"/>
  <c r="A3859" i="1"/>
  <c r="B3859" i="1"/>
  <c r="C3859" i="1"/>
  <c r="D3859" i="1"/>
  <c r="A3860" i="1"/>
  <c r="B3860" i="1"/>
  <c r="C3860" i="1"/>
  <c r="D3860" i="1"/>
  <c r="A3861" i="1"/>
  <c r="B3861" i="1"/>
  <c r="C3861" i="1"/>
  <c r="D3861" i="1"/>
  <c r="A3862" i="1"/>
  <c r="B3862" i="1"/>
  <c r="C3862" i="1"/>
  <c r="D3862" i="1"/>
  <c r="A3863" i="1"/>
  <c r="B3863" i="1"/>
  <c r="C3863" i="1"/>
  <c r="D3863" i="1"/>
  <c r="A3864" i="1"/>
  <c r="B3864" i="1"/>
  <c r="C3864" i="1"/>
  <c r="D3864" i="1"/>
  <c r="A3865" i="1"/>
  <c r="B3865" i="1"/>
  <c r="C3865" i="1"/>
  <c r="D3865" i="1"/>
  <c r="A3866" i="1"/>
  <c r="B3866" i="1"/>
  <c r="C3866" i="1"/>
  <c r="D3866" i="1"/>
  <c r="A3867" i="1"/>
  <c r="B3867" i="1"/>
  <c r="C3867" i="1"/>
  <c r="D3867" i="1"/>
  <c r="A3868" i="1"/>
  <c r="B3868" i="1"/>
  <c r="C3868" i="1"/>
  <c r="D3868" i="1"/>
  <c r="A3869" i="1"/>
  <c r="B3869" i="1"/>
  <c r="C3869" i="1"/>
  <c r="D3869" i="1"/>
  <c r="A3870" i="1"/>
  <c r="B3870" i="1"/>
  <c r="C3870" i="1"/>
  <c r="D3870" i="1"/>
  <c r="A3871" i="1"/>
  <c r="B3871" i="1"/>
  <c r="C3871" i="1"/>
  <c r="D3871" i="1"/>
  <c r="A3872" i="1"/>
  <c r="B3872" i="1"/>
  <c r="C3872" i="1"/>
  <c r="D3872" i="1"/>
  <c r="A3873" i="1"/>
  <c r="B3873" i="1"/>
  <c r="C3873" i="1"/>
  <c r="D3873" i="1"/>
  <c r="A3874" i="1"/>
  <c r="B3874" i="1"/>
  <c r="C3874" i="1"/>
  <c r="D3874" i="1"/>
  <c r="A3875" i="1"/>
  <c r="B3875" i="1"/>
  <c r="C3875" i="1"/>
  <c r="D3875" i="1"/>
  <c r="A3876" i="1"/>
  <c r="B3876" i="1"/>
  <c r="C3876" i="1"/>
  <c r="D3876" i="1"/>
  <c r="A3877" i="1"/>
  <c r="B3877" i="1"/>
  <c r="C3877" i="1"/>
  <c r="D3877" i="1"/>
  <c r="A3878" i="1"/>
  <c r="B3878" i="1"/>
  <c r="C3878" i="1"/>
  <c r="D3878" i="1"/>
  <c r="A3879" i="1"/>
  <c r="B3879" i="1"/>
  <c r="C3879" i="1"/>
  <c r="D3879" i="1"/>
  <c r="A3880" i="1"/>
  <c r="B3880" i="1"/>
  <c r="C3880" i="1"/>
  <c r="D3880" i="1"/>
  <c r="A3881" i="1"/>
  <c r="B3881" i="1"/>
  <c r="C3881" i="1"/>
  <c r="D3881" i="1"/>
  <c r="A3882" i="1"/>
  <c r="B3882" i="1"/>
  <c r="C3882" i="1"/>
  <c r="D3882" i="1"/>
  <c r="A3883" i="1"/>
  <c r="B3883" i="1"/>
  <c r="C3883" i="1"/>
  <c r="D3883" i="1"/>
  <c r="A3884" i="1"/>
  <c r="B3884" i="1"/>
  <c r="C3884" i="1"/>
  <c r="D3884" i="1"/>
  <c r="A3885" i="1"/>
  <c r="B3885" i="1"/>
  <c r="C3885" i="1"/>
  <c r="D3885" i="1"/>
  <c r="A3886" i="1"/>
  <c r="B3886" i="1"/>
  <c r="C3886" i="1"/>
  <c r="D3886" i="1"/>
  <c r="A3887" i="1"/>
  <c r="B3887" i="1"/>
  <c r="C3887" i="1"/>
  <c r="D3887" i="1"/>
  <c r="A3888" i="1"/>
  <c r="B3888" i="1"/>
  <c r="C3888" i="1"/>
  <c r="D3888" i="1"/>
  <c r="A3889" i="1"/>
  <c r="B3889" i="1"/>
  <c r="C3889" i="1"/>
  <c r="D3889" i="1"/>
  <c r="A3890" i="1"/>
  <c r="B3890" i="1"/>
  <c r="C3890" i="1"/>
  <c r="D3890" i="1"/>
  <c r="A3891" i="1"/>
  <c r="B3891" i="1"/>
  <c r="C3891" i="1"/>
  <c r="D3891" i="1"/>
  <c r="A3892" i="1"/>
  <c r="B3892" i="1"/>
  <c r="C3892" i="1"/>
  <c r="D3892" i="1"/>
  <c r="A3893" i="1"/>
  <c r="B3893" i="1"/>
  <c r="C3893" i="1"/>
  <c r="D3893" i="1"/>
  <c r="A3894" i="1"/>
  <c r="B3894" i="1"/>
  <c r="C3894" i="1"/>
  <c r="D3894" i="1"/>
  <c r="A3895" i="1"/>
  <c r="B3895" i="1"/>
  <c r="C3895" i="1"/>
  <c r="D3895" i="1"/>
  <c r="A3896" i="1"/>
  <c r="B3896" i="1"/>
  <c r="C3896" i="1"/>
  <c r="D3896" i="1"/>
  <c r="A3897" i="1"/>
  <c r="B3897" i="1"/>
  <c r="C3897" i="1"/>
  <c r="D3897" i="1"/>
  <c r="A3898" i="1"/>
  <c r="B3898" i="1"/>
  <c r="C3898" i="1"/>
  <c r="D3898" i="1"/>
  <c r="A3899" i="1"/>
  <c r="B3899" i="1"/>
  <c r="C3899" i="1"/>
  <c r="D3899" i="1"/>
  <c r="A3900" i="1"/>
  <c r="B3900" i="1"/>
  <c r="C3900" i="1"/>
  <c r="D3900" i="1"/>
  <c r="A3901" i="1"/>
  <c r="B3901" i="1"/>
  <c r="C3901" i="1"/>
  <c r="D3901" i="1"/>
  <c r="A3902" i="1"/>
  <c r="B3902" i="1"/>
  <c r="C3902" i="1"/>
  <c r="D3902" i="1"/>
  <c r="A3903" i="1"/>
  <c r="B3903" i="1"/>
  <c r="C3903" i="1"/>
  <c r="D3903" i="1"/>
  <c r="A3904" i="1"/>
  <c r="B3904" i="1"/>
  <c r="C3904" i="1"/>
  <c r="D3904" i="1"/>
  <c r="A3905" i="1"/>
  <c r="B3905" i="1"/>
  <c r="C3905" i="1"/>
  <c r="D3905" i="1"/>
  <c r="A3906" i="1"/>
  <c r="B3906" i="1"/>
  <c r="C3906" i="1"/>
  <c r="D3906" i="1"/>
  <c r="A3907" i="1"/>
  <c r="B3907" i="1"/>
  <c r="C3907" i="1"/>
  <c r="D3907" i="1"/>
  <c r="A3908" i="1"/>
  <c r="B3908" i="1"/>
  <c r="C3908" i="1"/>
  <c r="D3908" i="1"/>
  <c r="A3909" i="1"/>
  <c r="B3909" i="1"/>
  <c r="C3909" i="1"/>
  <c r="D3909" i="1"/>
  <c r="A3910" i="1"/>
  <c r="B3910" i="1"/>
  <c r="C3910" i="1"/>
  <c r="D3910" i="1"/>
  <c r="A3911" i="1"/>
  <c r="B3911" i="1"/>
  <c r="C3911" i="1"/>
  <c r="D3911" i="1"/>
  <c r="A3912" i="1"/>
  <c r="B3912" i="1"/>
  <c r="C3912" i="1"/>
  <c r="D3912" i="1"/>
  <c r="A3913" i="1"/>
  <c r="B3913" i="1"/>
  <c r="C3913" i="1"/>
  <c r="D3913" i="1"/>
  <c r="A3914" i="1"/>
  <c r="B3914" i="1"/>
  <c r="C3914" i="1"/>
  <c r="D3914" i="1"/>
  <c r="A3915" i="1"/>
  <c r="B3915" i="1"/>
  <c r="C3915" i="1"/>
  <c r="D3915" i="1"/>
  <c r="A3916" i="1"/>
  <c r="B3916" i="1"/>
  <c r="C3916" i="1"/>
  <c r="D3916" i="1"/>
  <c r="A3917" i="1"/>
  <c r="B3917" i="1"/>
  <c r="C3917" i="1"/>
  <c r="D3917" i="1"/>
  <c r="A3918" i="1"/>
  <c r="B3918" i="1"/>
  <c r="C3918" i="1"/>
  <c r="D3918" i="1"/>
  <c r="A3919" i="1"/>
  <c r="B3919" i="1"/>
  <c r="C3919" i="1"/>
  <c r="D3919" i="1"/>
  <c r="A3920" i="1"/>
  <c r="B3920" i="1"/>
  <c r="C3920" i="1"/>
  <c r="D3920" i="1"/>
  <c r="A3921" i="1"/>
  <c r="B3921" i="1"/>
  <c r="C3921" i="1"/>
  <c r="D3921" i="1"/>
  <c r="A3922" i="1"/>
  <c r="B3922" i="1"/>
  <c r="C3922" i="1"/>
  <c r="D3922" i="1"/>
  <c r="A3923" i="1"/>
  <c r="B3923" i="1"/>
  <c r="C3923" i="1"/>
  <c r="D3923" i="1"/>
  <c r="A3924" i="1"/>
  <c r="B3924" i="1"/>
  <c r="C3924" i="1"/>
  <c r="D3924" i="1"/>
  <c r="A3925" i="1"/>
  <c r="B3925" i="1"/>
  <c r="C3925" i="1"/>
  <c r="D3925" i="1"/>
  <c r="A3926" i="1"/>
  <c r="B3926" i="1"/>
  <c r="C3926" i="1"/>
  <c r="D3926" i="1"/>
  <c r="A3927" i="1"/>
  <c r="B3927" i="1"/>
  <c r="C3927" i="1"/>
  <c r="D3927" i="1"/>
  <c r="A3928" i="1"/>
  <c r="B3928" i="1"/>
  <c r="C3928" i="1"/>
  <c r="D3928" i="1"/>
  <c r="A3929" i="1"/>
  <c r="B3929" i="1"/>
  <c r="C3929" i="1"/>
  <c r="D3929" i="1"/>
  <c r="A3930" i="1"/>
  <c r="B3930" i="1"/>
  <c r="C3930" i="1"/>
  <c r="D3930" i="1"/>
  <c r="A3931" i="1"/>
  <c r="B3931" i="1"/>
  <c r="C3931" i="1"/>
  <c r="D3931" i="1"/>
  <c r="A3932" i="1"/>
  <c r="B3932" i="1"/>
  <c r="C3932" i="1"/>
  <c r="D3932" i="1"/>
  <c r="A3933" i="1"/>
  <c r="B3933" i="1"/>
  <c r="C3933" i="1"/>
  <c r="D3933" i="1"/>
  <c r="A3934" i="1"/>
  <c r="B3934" i="1"/>
  <c r="C3934" i="1"/>
  <c r="D3934" i="1"/>
  <c r="A3935" i="1"/>
  <c r="B3935" i="1"/>
  <c r="C3935" i="1"/>
  <c r="D3935" i="1"/>
  <c r="A3936" i="1"/>
  <c r="B3936" i="1"/>
  <c r="C3936" i="1"/>
  <c r="D3936" i="1"/>
  <c r="A3937" i="1"/>
  <c r="B3937" i="1"/>
  <c r="C3937" i="1"/>
  <c r="D3937" i="1"/>
  <c r="A3938" i="1"/>
  <c r="B3938" i="1"/>
  <c r="C3938" i="1"/>
  <c r="D3938" i="1"/>
  <c r="A3939" i="1"/>
  <c r="B3939" i="1"/>
  <c r="C3939" i="1"/>
  <c r="D3939" i="1"/>
  <c r="A3940" i="1"/>
  <c r="B3940" i="1"/>
  <c r="C3940" i="1"/>
  <c r="D3940" i="1"/>
  <c r="A3941" i="1"/>
  <c r="B3941" i="1"/>
  <c r="C3941" i="1"/>
  <c r="D3941" i="1"/>
  <c r="A3942" i="1"/>
  <c r="B3942" i="1"/>
  <c r="C3942" i="1"/>
  <c r="D3942" i="1"/>
  <c r="A3943" i="1"/>
  <c r="B3943" i="1"/>
  <c r="C3943" i="1"/>
  <c r="D3943" i="1"/>
  <c r="A3944" i="1"/>
  <c r="B3944" i="1"/>
  <c r="C3944" i="1"/>
  <c r="D3944" i="1"/>
  <c r="A3945" i="1"/>
  <c r="B3945" i="1"/>
  <c r="C3945" i="1"/>
  <c r="D3945" i="1"/>
  <c r="A3946" i="1"/>
  <c r="B3946" i="1"/>
  <c r="C3946" i="1"/>
  <c r="D3946" i="1"/>
  <c r="A3947" i="1"/>
  <c r="B3947" i="1"/>
  <c r="C3947" i="1"/>
  <c r="D3947" i="1"/>
  <c r="A3948" i="1"/>
  <c r="B3948" i="1"/>
  <c r="C3948" i="1"/>
  <c r="D3948" i="1"/>
  <c r="A3949" i="1"/>
  <c r="B3949" i="1"/>
  <c r="C3949" i="1"/>
  <c r="D3949" i="1"/>
  <c r="A3950" i="1"/>
  <c r="B3950" i="1"/>
  <c r="C3950" i="1"/>
  <c r="D3950" i="1"/>
  <c r="A3951" i="1"/>
  <c r="B3951" i="1"/>
  <c r="C3951" i="1"/>
  <c r="D3951" i="1"/>
  <c r="A3952" i="1"/>
  <c r="B3952" i="1"/>
  <c r="C3952" i="1"/>
  <c r="D3952" i="1"/>
  <c r="A3953" i="1"/>
  <c r="B3953" i="1"/>
  <c r="C3953" i="1"/>
  <c r="D3953" i="1"/>
  <c r="A3954" i="1"/>
  <c r="B3954" i="1"/>
  <c r="C3954" i="1"/>
  <c r="D3954" i="1"/>
  <c r="A3955" i="1"/>
  <c r="B3955" i="1"/>
  <c r="C3955" i="1"/>
  <c r="D3955" i="1"/>
  <c r="A3956" i="1"/>
  <c r="B3956" i="1"/>
  <c r="C3956" i="1"/>
  <c r="D3956" i="1"/>
  <c r="A3957" i="1"/>
  <c r="B3957" i="1"/>
  <c r="C3957" i="1"/>
  <c r="D3957" i="1"/>
  <c r="A3958" i="1"/>
  <c r="B3958" i="1"/>
  <c r="C3958" i="1"/>
  <c r="D3958" i="1"/>
  <c r="A3959" i="1"/>
  <c r="B3959" i="1"/>
  <c r="C3959" i="1"/>
  <c r="D3959" i="1"/>
  <c r="A3960" i="1"/>
  <c r="B3960" i="1"/>
  <c r="C3960" i="1"/>
  <c r="D3960" i="1"/>
  <c r="A3961" i="1"/>
  <c r="B3961" i="1"/>
  <c r="C3961" i="1"/>
  <c r="D3961" i="1"/>
  <c r="A3962" i="1"/>
  <c r="B3962" i="1"/>
  <c r="C3962" i="1"/>
  <c r="D3962" i="1"/>
  <c r="A3963" i="1"/>
  <c r="B3963" i="1"/>
  <c r="C3963" i="1"/>
  <c r="D3963" i="1"/>
  <c r="A3964" i="1"/>
  <c r="B3964" i="1"/>
  <c r="C3964" i="1"/>
  <c r="D3964" i="1"/>
  <c r="A3965" i="1"/>
  <c r="B3965" i="1"/>
  <c r="C3965" i="1"/>
  <c r="D3965" i="1"/>
  <c r="A3966" i="1"/>
  <c r="B3966" i="1"/>
  <c r="C3966" i="1"/>
  <c r="D3966" i="1"/>
  <c r="A3967" i="1"/>
  <c r="B3967" i="1"/>
  <c r="C3967" i="1"/>
  <c r="D3967" i="1"/>
  <c r="A3968" i="1"/>
  <c r="B3968" i="1"/>
  <c r="C3968" i="1"/>
  <c r="D3968" i="1"/>
  <c r="A3969" i="1"/>
  <c r="B3969" i="1"/>
  <c r="C3969" i="1"/>
  <c r="D3969" i="1"/>
  <c r="A3970" i="1"/>
  <c r="B3970" i="1"/>
  <c r="C3970" i="1"/>
  <c r="D3970" i="1"/>
  <c r="A3971" i="1"/>
  <c r="B3971" i="1"/>
  <c r="C3971" i="1"/>
  <c r="D3971" i="1"/>
  <c r="A3972" i="1"/>
  <c r="B3972" i="1"/>
  <c r="C3972" i="1"/>
  <c r="D3972" i="1"/>
  <c r="A3973" i="1"/>
  <c r="B3973" i="1"/>
  <c r="C3973" i="1"/>
  <c r="D3973" i="1"/>
  <c r="A3974" i="1"/>
  <c r="B3974" i="1"/>
  <c r="C3974" i="1"/>
  <c r="D3974" i="1"/>
  <c r="A3975" i="1"/>
  <c r="B3975" i="1"/>
  <c r="C3975" i="1"/>
  <c r="D3975" i="1"/>
  <c r="A3976" i="1"/>
  <c r="B3976" i="1"/>
  <c r="C3976" i="1"/>
  <c r="D3976" i="1"/>
  <c r="A3977" i="1"/>
  <c r="B3977" i="1"/>
  <c r="C3977" i="1"/>
  <c r="D3977" i="1"/>
  <c r="A3978" i="1"/>
  <c r="B3978" i="1"/>
  <c r="C3978" i="1"/>
  <c r="D3978" i="1"/>
  <c r="A3979" i="1"/>
  <c r="B3979" i="1"/>
  <c r="C3979" i="1"/>
  <c r="D3979" i="1"/>
  <c r="A3980" i="1"/>
  <c r="B3980" i="1"/>
  <c r="C3980" i="1"/>
  <c r="D3980" i="1"/>
  <c r="A3981" i="1"/>
  <c r="B3981" i="1"/>
  <c r="C3981" i="1"/>
  <c r="D3981" i="1"/>
  <c r="A3982" i="1"/>
  <c r="B3982" i="1"/>
  <c r="C3982" i="1"/>
  <c r="D3982" i="1"/>
  <c r="A3983" i="1"/>
  <c r="B3983" i="1"/>
  <c r="C3983" i="1"/>
  <c r="D3983" i="1"/>
  <c r="A3984" i="1"/>
  <c r="B3984" i="1"/>
  <c r="C3984" i="1"/>
  <c r="D3984" i="1"/>
  <c r="A3985" i="1"/>
  <c r="B3985" i="1"/>
  <c r="C3985" i="1"/>
  <c r="D3985" i="1"/>
  <c r="A3986" i="1"/>
  <c r="B3986" i="1"/>
  <c r="C3986" i="1"/>
  <c r="D3986" i="1"/>
  <c r="A3987" i="1"/>
  <c r="B3987" i="1"/>
  <c r="C3987" i="1"/>
  <c r="D3987" i="1"/>
  <c r="A3988" i="1"/>
  <c r="B3988" i="1"/>
  <c r="C3988" i="1"/>
  <c r="D3988" i="1"/>
  <c r="A3989" i="1"/>
  <c r="B3989" i="1"/>
  <c r="C3989" i="1"/>
  <c r="D3989" i="1"/>
  <c r="A3990" i="1"/>
  <c r="B3990" i="1"/>
  <c r="C3990" i="1"/>
  <c r="D3990" i="1"/>
  <c r="A3991" i="1"/>
  <c r="B3991" i="1"/>
  <c r="C3991" i="1"/>
  <c r="D3991" i="1"/>
  <c r="A3992" i="1"/>
  <c r="B3992" i="1"/>
  <c r="C3992" i="1"/>
  <c r="D3992" i="1"/>
  <c r="A3993" i="1"/>
  <c r="B3993" i="1"/>
  <c r="C3993" i="1"/>
  <c r="D3993" i="1"/>
  <c r="A3994" i="1"/>
  <c r="B3994" i="1"/>
  <c r="C3994" i="1"/>
  <c r="D3994" i="1"/>
  <c r="A3995" i="1"/>
  <c r="B3995" i="1"/>
  <c r="C3995" i="1"/>
  <c r="D3995" i="1"/>
  <c r="A3996" i="1"/>
  <c r="B3996" i="1"/>
  <c r="C3996" i="1"/>
  <c r="D3996" i="1"/>
  <c r="A3997" i="1"/>
  <c r="B3997" i="1"/>
  <c r="C3997" i="1"/>
  <c r="D3997" i="1"/>
  <c r="A3998" i="1"/>
  <c r="B3998" i="1"/>
  <c r="C3998" i="1"/>
  <c r="D3998" i="1"/>
  <c r="A3999" i="1"/>
  <c r="B3999" i="1"/>
  <c r="C3999" i="1"/>
  <c r="D3999" i="1"/>
  <c r="A4000" i="1"/>
  <c r="B4000" i="1"/>
  <c r="C4000" i="1"/>
  <c r="D4000" i="1"/>
  <c r="A4001" i="1"/>
  <c r="B4001" i="1"/>
  <c r="C4001" i="1"/>
  <c r="D4001" i="1"/>
  <c r="A4002" i="1"/>
  <c r="B4002" i="1"/>
  <c r="C4002" i="1"/>
  <c r="D4002" i="1"/>
  <c r="A4003" i="1"/>
  <c r="B4003" i="1"/>
  <c r="C4003" i="1"/>
  <c r="D4003" i="1"/>
  <c r="A4004" i="1"/>
  <c r="B4004" i="1"/>
  <c r="C4004" i="1"/>
  <c r="D4004" i="1"/>
  <c r="A4005" i="1"/>
  <c r="B4005" i="1"/>
  <c r="C4005" i="1"/>
  <c r="D4005" i="1"/>
  <c r="A4006" i="1"/>
  <c r="B4006" i="1"/>
  <c r="C4006" i="1"/>
  <c r="D4006" i="1"/>
  <c r="A4007" i="1"/>
  <c r="B4007" i="1"/>
  <c r="C4007" i="1"/>
  <c r="D4007" i="1"/>
  <c r="A4008" i="1"/>
  <c r="B4008" i="1"/>
  <c r="C4008" i="1"/>
  <c r="D4008" i="1"/>
  <c r="A4009" i="1"/>
  <c r="B4009" i="1"/>
  <c r="C4009" i="1"/>
  <c r="D4009" i="1"/>
  <c r="A4010" i="1"/>
  <c r="B4010" i="1"/>
  <c r="C4010" i="1"/>
  <c r="D4010" i="1"/>
  <c r="A4011" i="1"/>
  <c r="B4011" i="1"/>
  <c r="C4011" i="1"/>
  <c r="D4011" i="1"/>
  <c r="A4012" i="1"/>
  <c r="B4012" i="1"/>
  <c r="C4012" i="1"/>
  <c r="D4012" i="1"/>
  <c r="A4013" i="1"/>
  <c r="B4013" i="1"/>
  <c r="C4013" i="1"/>
  <c r="D4013" i="1"/>
  <c r="A4014" i="1"/>
  <c r="B4014" i="1"/>
  <c r="C4014" i="1"/>
  <c r="D4014" i="1"/>
  <c r="A4015" i="1"/>
  <c r="B4015" i="1"/>
  <c r="C4015" i="1"/>
  <c r="D4015" i="1"/>
  <c r="A4016" i="1"/>
  <c r="B4016" i="1"/>
  <c r="C4016" i="1"/>
  <c r="D4016" i="1"/>
  <c r="A4017" i="1"/>
  <c r="B4017" i="1"/>
  <c r="C4017" i="1"/>
  <c r="D4017" i="1"/>
  <c r="A4018" i="1"/>
  <c r="B4018" i="1"/>
  <c r="C4018" i="1"/>
  <c r="D4018" i="1"/>
  <c r="A4019" i="1"/>
  <c r="B4019" i="1"/>
  <c r="C4019" i="1"/>
  <c r="D4019" i="1"/>
  <c r="A4020" i="1"/>
  <c r="B4020" i="1"/>
  <c r="C4020" i="1"/>
  <c r="D4020" i="1"/>
  <c r="A4021" i="1"/>
  <c r="B4021" i="1"/>
  <c r="C4021" i="1"/>
  <c r="D4021" i="1"/>
  <c r="A4022" i="1"/>
  <c r="B4022" i="1"/>
  <c r="C4022" i="1"/>
  <c r="D4022" i="1"/>
  <c r="A4023" i="1"/>
  <c r="B4023" i="1"/>
  <c r="C4023" i="1"/>
  <c r="D4023" i="1"/>
  <c r="A4024" i="1"/>
  <c r="B4024" i="1"/>
  <c r="C4024" i="1"/>
  <c r="D4024" i="1"/>
  <c r="A4025" i="1"/>
  <c r="B4025" i="1"/>
  <c r="C4025" i="1"/>
  <c r="D4025" i="1"/>
  <c r="A4026" i="1"/>
  <c r="B4026" i="1"/>
  <c r="C4026" i="1"/>
  <c r="D4026" i="1"/>
  <c r="A4027" i="1"/>
  <c r="B4027" i="1"/>
  <c r="C4027" i="1"/>
  <c r="D4027" i="1"/>
  <c r="A4028" i="1"/>
  <c r="B4028" i="1"/>
  <c r="C4028" i="1"/>
  <c r="D4028" i="1"/>
  <c r="A4029" i="1"/>
  <c r="B4029" i="1"/>
  <c r="C4029" i="1"/>
  <c r="D4029" i="1"/>
  <c r="A4030" i="1"/>
  <c r="B4030" i="1"/>
  <c r="C4030" i="1"/>
  <c r="D4030" i="1"/>
  <c r="A4031" i="1"/>
  <c r="B4031" i="1"/>
  <c r="C4031" i="1"/>
  <c r="D4031" i="1"/>
  <c r="A4032" i="1"/>
  <c r="B4032" i="1"/>
  <c r="C4032" i="1"/>
  <c r="D4032" i="1"/>
  <c r="A4033" i="1"/>
  <c r="B4033" i="1"/>
  <c r="C4033" i="1"/>
  <c r="D4033" i="1"/>
  <c r="A4034" i="1"/>
  <c r="B4034" i="1"/>
  <c r="C4034" i="1"/>
  <c r="D4034" i="1"/>
  <c r="A4035" i="1"/>
  <c r="B4035" i="1"/>
  <c r="C4035" i="1"/>
  <c r="D4035" i="1"/>
  <c r="A4036" i="1"/>
  <c r="B4036" i="1"/>
  <c r="C4036" i="1"/>
  <c r="D4036" i="1"/>
  <c r="A4037" i="1"/>
  <c r="B4037" i="1"/>
  <c r="C4037" i="1"/>
  <c r="D4037" i="1"/>
  <c r="A4038" i="1"/>
  <c r="B4038" i="1"/>
  <c r="C4038" i="1"/>
  <c r="D4038" i="1"/>
  <c r="A4039" i="1"/>
  <c r="B4039" i="1"/>
  <c r="C4039" i="1"/>
  <c r="D4039" i="1"/>
  <c r="A4040" i="1"/>
  <c r="B4040" i="1"/>
  <c r="C4040" i="1"/>
  <c r="D4040" i="1"/>
  <c r="A4041" i="1"/>
  <c r="B4041" i="1"/>
  <c r="C4041" i="1"/>
  <c r="D4041" i="1"/>
  <c r="A4042" i="1"/>
  <c r="B4042" i="1"/>
  <c r="C4042" i="1"/>
  <c r="D4042" i="1"/>
  <c r="A4043" i="1"/>
  <c r="B4043" i="1"/>
  <c r="C4043" i="1"/>
  <c r="D4043" i="1"/>
  <c r="A4044" i="1"/>
  <c r="B4044" i="1"/>
  <c r="C4044" i="1"/>
  <c r="D4044" i="1"/>
  <c r="A4045" i="1"/>
  <c r="B4045" i="1"/>
  <c r="C4045" i="1"/>
  <c r="D4045" i="1"/>
  <c r="A4046" i="1"/>
  <c r="B4046" i="1"/>
  <c r="C4046" i="1"/>
  <c r="D4046" i="1"/>
  <c r="A4047" i="1"/>
  <c r="B4047" i="1"/>
  <c r="C4047" i="1"/>
  <c r="D4047" i="1"/>
  <c r="A4048" i="1"/>
  <c r="B4048" i="1"/>
  <c r="C4048" i="1"/>
  <c r="D4048" i="1"/>
  <c r="A4049" i="1"/>
  <c r="B4049" i="1"/>
  <c r="C4049" i="1"/>
  <c r="D4049" i="1"/>
  <c r="A4050" i="1"/>
  <c r="B4050" i="1"/>
  <c r="C4050" i="1"/>
  <c r="D4050" i="1"/>
  <c r="A4051" i="1"/>
  <c r="B4051" i="1"/>
  <c r="C4051" i="1"/>
  <c r="D4051" i="1"/>
  <c r="A4052" i="1"/>
  <c r="B4052" i="1"/>
  <c r="C4052" i="1"/>
  <c r="D4052" i="1"/>
  <c r="A4053" i="1"/>
  <c r="B4053" i="1"/>
  <c r="C4053" i="1"/>
  <c r="D4053" i="1"/>
  <c r="A4054" i="1"/>
  <c r="B4054" i="1"/>
  <c r="C4054" i="1"/>
  <c r="D4054" i="1"/>
  <c r="A4055" i="1"/>
  <c r="B4055" i="1"/>
  <c r="C4055" i="1"/>
  <c r="D4055" i="1"/>
  <c r="A4056" i="1"/>
  <c r="B4056" i="1"/>
  <c r="C4056" i="1"/>
  <c r="D4056" i="1"/>
  <c r="A4057" i="1"/>
  <c r="B4057" i="1"/>
  <c r="C4057" i="1"/>
  <c r="D4057" i="1"/>
  <c r="A4058" i="1"/>
  <c r="B4058" i="1"/>
  <c r="C4058" i="1"/>
  <c r="D4058" i="1"/>
  <c r="A4059" i="1"/>
  <c r="B4059" i="1"/>
  <c r="C4059" i="1"/>
  <c r="D4059" i="1"/>
  <c r="A4060" i="1"/>
  <c r="B4060" i="1"/>
  <c r="C4060" i="1"/>
  <c r="D4060" i="1"/>
  <c r="A4061" i="1"/>
  <c r="B4061" i="1"/>
  <c r="C4061" i="1"/>
  <c r="D4061" i="1"/>
  <c r="A4062" i="1"/>
  <c r="B4062" i="1"/>
  <c r="C4062" i="1"/>
  <c r="D4062" i="1"/>
  <c r="A4063" i="1"/>
  <c r="B4063" i="1"/>
  <c r="C4063" i="1"/>
  <c r="D4063" i="1"/>
  <c r="A4064" i="1"/>
  <c r="B4064" i="1"/>
  <c r="C4064" i="1"/>
  <c r="D4064" i="1"/>
  <c r="A4065" i="1"/>
  <c r="B4065" i="1"/>
  <c r="C4065" i="1"/>
  <c r="D4065" i="1"/>
  <c r="A4066" i="1"/>
  <c r="B4066" i="1"/>
  <c r="C4066" i="1"/>
  <c r="D4066" i="1"/>
  <c r="A4067" i="1"/>
  <c r="B4067" i="1"/>
  <c r="C4067" i="1"/>
  <c r="D4067" i="1"/>
  <c r="A4068" i="1"/>
  <c r="B4068" i="1"/>
  <c r="C4068" i="1"/>
  <c r="D4068" i="1"/>
  <c r="A4069" i="1"/>
  <c r="B4069" i="1"/>
  <c r="C4069" i="1"/>
  <c r="D4069" i="1"/>
  <c r="A4070" i="1"/>
  <c r="B4070" i="1"/>
  <c r="C4070" i="1"/>
  <c r="D4070" i="1"/>
  <c r="A4071" i="1"/>
  <c r="B4071" i="1"/>
  <c r="C4071" i="1"/>
  <c r="D4071" i="1"/>
  <c r="A4072" i="1"/>
  <c r="B4072" i="1"/>
  <c r="C4072" i="1"/>
  <c r="D4072" i="1"/>
  <c r="A4073" i="1"/>
  <c r="B4073" i="1"/>
  <c r="C4073" i="1"/>
  <c r="D4073" i="1"/>
  <c r="A4074" i="1"/>
  <c r="B4074" i="1"/>
  <c r="C4074" i="1"/>
  <c r="D4074" i="1"/>
  <c r="A4075" i="1"/>
  <c r="B4075" i="1"/>
  <c r="C4075" i="1"/>
  <c r="D4075" i="1"/>
  <c r="A4076" i="1"/>
  <c r="B4076" i="1"/>
  <c r="C4076" i="1"/>
  <c r="D4076" i="1"/>
  <c r="A4077" i="1"/>
  <c r="B4077" i="1"/>
  <c r="C4077" i="1"/>
  <c r="D4077" i="1"/>
  <c r="A4078" i="1"/>
  <c r="B4078" i="1"/>
  <c r="C4078" i="1"/>
  <c r="D4078" i="1"/>
  <c r="A4079" i="1"/>
  <c r="B4079" i="1"/>
  <c r="C4079" i="1"/>
  <c r="D4079" i="1"/>
  <c r="A4080" i="1"/>
  <c r="B4080" i="1"/>
  <c r="C4080" i="1"/>
  <c r="D4080" i="1"/>
  <c r="A4081" i="1"/>
  <c r="B4081" i="1"/>
  <c r="C4081" i="1"/>
  <c r="D4081" i="1"/>
  <c r="A4082" i="1"/>
  <c r="B4082" i="1"/>
  <c r="C4082" i="1"/>
  <c r="D4082" i="1"/>
  <c r="A4083" i="1"/>
  <c r="B4083" i="1"/>
  <c r="C4083" i="1"/>
  <c r="D4083" i="1"/>
  <c r="A4084" i="1"/>
  <c r="B4084" i="1"/>
  <c r="C4084" i="1"/>
  <c r="D4084" i="1"/>
  <c r="A4085" i="1"/>
  <c r="B4085" i="1"/>
  <c r="C4085" i="1"/>
  <c r="D4085" i="1"/>
  <c r="A4086" i="1"/>
  <c r="B4086" i="1"/>
  <c r="C4086" i="1"/>
  <c r="D4086" i="1"/>
  <c r="A4087" i="1"/>
  <c r="B4087" i="1"/>
  <c r="C4087" i="1"/>
  <c r="D4087" i="1"/>
  <c r="A4088" i="1"/>
  <c r="B4088" i="1"/>
  <c r="C4088" i="1"/>
  <c r="D4088" i="1"/>
  <c r="A4089" i="1"/>
  <c r="B4089" i="1"/>
  <c r="C4089" i="1"/>
  <c r="D4089" i="1"/>
  <c r="A4090" i="1"/>
  <c r="B4090" i="1"/>
  <c r="C4090" i="1"/>
  <c r="D4090" i="1"/>
  <c r="A4091" i="1"/>
  <c r="B4091" i="1"/>
  <c r="C4091" i="1"/>
  <c r="D4091" i="1"/>
  <c r="A4092" i="1"/>
  <c r="B4092" i="1"/>
  <c r="C4092" i="1"/>
  <c r="D4092" i="1"/>
  <c r="A4093" i="1"/>
  <c r="B4093" i="1"/>
  <c r="C4093" i="1"/>
  <c r="D4093" i="1"/>
  <c r="A4094" i="1"/>
  <c r="B4094" i="1"/>
  <c r="C4094" i="1"/>
  <c r="D4094" i="1"/>
  <c r="A4095" i="1"/>
  <c r="B4095" i="1"/>
  <c r="C4095" i="1"/>
  <c r="D4095" i="1"/>
  <c r="A4096" i="1"/>
  <c r="B4096" i="1"/>
  <c r="C4096" i="1"/>
  <c r="D4096" i="1"/>
  <c r="A4097" i="1"/>
  <c r="B4097" i="1"/>
  <c r="C4097" i="1"/>
  <c r="D4097" i="1"/>
  <c r="A4098" i="1"/>
  <c r="B4098" i="1"/>
  <c r="C4098" i="1"/>
  <c r="D4098" i="1"/>
  <c r="A4099" i="1"/>
  <c r="B4099" i="1"/>
  <c r="C4099" i="1"/>
  <c r="D4099" i="1"/>
  <c r="A4100" i="1"/>
  <c r="B4100" i="1"/>
  <c r="C4100" i="1"/>
  <c r="D4100" i="1"/>
  <c r="A4101" i="1"/>
  <c r="B4101" i="1"/>
  <c r="C4101" i="1"/>
  <c r="D4101" i="1"/>
  <c r="A4102" i="1"/>
  <c r="B4102" i="1"/>
  <c r="C4102" i="1"/>
  <c r="D4102" i="1"/>
  <c r="A4103" i="1"/>
  <c r="B4103" i="1"/>
  <c r="C4103" i="1"/>
  <c r="D4103" i="1"/>
  <c r="A4104" i="1"/>
  <c r="B4104" i="1"/>
  <c r="C4104" i="1"/>
  <c r="D4104" i="1"/>
  <c r="A4105" i="1"/>
  <c r="B4105" i="1"/>
  <c r="C4105" i="1"/>
  <c r="D4105" i="1"/>
  <c r="A4106" i="1"/>
  <c r="B4106" i="1"/>
  <c r="C4106" i="1"/>
  <c r="D4106" i="1"/>
  <c r="A4107" i="1"/>
  <c r="B4107" i="1"/>
  <c r="C4107" i="1"/>
  <c r="D4107" i="1"/>
  <c r="A4108" i="1"/>
  <c r="B4108" i="1"/>
  <c r="C4108" i="1"/>
  <c r="D4108" i="1"/>
  <c r="A4109" i="1"/>
  <c r="B4109" i="1"/>
  <c r="C4109" i="1"/>
  <c r="D4109" i="1"/>
  <c r="A4110" i="1"/>
  <c r="B4110" i="1"/>
  <c r="C4110" i="1"/>
  <c r="D4110" i="1"/>
  <c r="A4111" i="1"/>
  <c r="B4111" i="1"/>
  <c r="C4111" i="1"/>
  <c r="D4111" i="1"/>
  <c r="A4112" i="1"/>
  <c r="B4112" i="1"/>
  <c r="C4112" i="1"/>
  <c r="D4112" i="1"/>
  <c r="A4113" i="1"/>
  <c r="B4113" i="1"/>
  <c r="C4113" i="1"/>
  <c r="D4113" i="1"/>
  <c r="A4114" i="1"/>
  <c r="B4114" i="1"/>
  <c r="C4114" i="1"/>
  <c r="D4114" i="1"/>
  <c r="A4115" i="1"/>
  <c r="B4115" i="1"/>
  <c r="C4115" i="1"/>
  <c r="D4115" i="1"/>
  <c r="A4116" i="1"/>
  <c r="B4116" i="1"/>
  <c r="C4116" i="1"/>
  <c r="D4116" i="1"/>
  <c r="A4117" i="1"/>
  <c r="B4117" i="1"/>
  <c r="C4117" i="1"/>
  <c r="D4117" i="1"/>
  <c r="A4118" i="1"/>
  <c r="B4118" i="1"/>
  <c r="C4118" i="1"/>
  <c r="D4118" i="1"/>
  <c r="A4119" i="1"/>
  <c r="B4119" i="1"/>
  <c r="C4119" i="1"/>
  <c r="D4119" i="1"/>
  <c r="A4120" i="1"/>
  <c r="B4120" i="1"/>
  <c r="C4120" i="1"/>
  <c r="D4120" i="1"/>
  <c r="A4121" i="1"/>
  <c r="B4121" i="1"/>
  <c r="C4121" i="1"/>
  <c r="D4121" i="1"/>
  <c r="A4122" i="1"/>
  <c r="B4122" i="1"/>
  <c r="C4122" i="1"/>
  <c r="D4122" i="1"/>
  <c r="A4123" i="1"/>
  <c r="B4123" i="1"/>
  <c r="C4123" i="1"/>
  <c r="D4123" i="1"/>
  <c r="A4124" i="1"/>
  <c r="B4124" i="1"/>
  <c r="C4124" i="1"/>
  <c r="D4124" i="1"/>
  <c r="A4125" i="1"/>
  <c r="B4125" i="1"/>
  <c r="C4125" i="1"/>
  <c r="D4125" i="1"/>
  <c r="A4126" i="1"/>
  <c r="B4126" i="1"/>
  <c r="C4126" i="1"/>
  <c r="D4126" i="1"/>
  <c r="A4127" i="1"/>
  <c r="B4127" i="1"/>
  <c r="C4127" i="1"/>
  <c r="D4127" i="1"/>
  <c r="A4128" i="1"/>
  <c r="B4128" i="1"/>
  <c r="C4128" i="1"/>
  <c r="D4128" i="1"/>
  <c r="A4129" i="1"/>
  <c r="B4129" i="1"/>
  <c r="C4129" i="1"/>
  <c r="D4129" i="1"/>
  <c r="A4130" i="1"/>
  <c r="B4130" i="1"/>
  <c r="C4130" i="1"/>
  <c r="D4130" i="1"/>
  <c r="A4131" i="1"/>
  <c r="B4131" i="1"/>
  <c r="C4131" i="1"/>
  <c r="D4131" i="1"/>
  <c r="A4132" i="1"/>
  <c r="B4132" i="1"/>
  <c r="C4132" i="1"/>
  <c r="D4132" i="1"/>
  <c r="A4133" i="1"/>
  <c r="B4133" i="1"/>
  <c r="C4133" i="1"/>
  <c r="D4133" i="1"/>
  <c r="A4134" i="1"/>
  <c r="B4134" i="1"/>
  <c r="C4134" i="1"/>
  <c r="D4134" i="1"/>
  <c r="A4135" i="1"/>
  <c r="B4135" i="1"/>
  <c r="C4135" i="1"/>
  <c r="D4135" i="1"/>
  <c r="A4136" i="1"/>
  <c r="B4136" i="1"/>
  <c r="C4136" i="1"/>
  <c r="D4136" i="1"/>
  <c r="A4137" i="1"/>
  <c r="B4137" i="1"/>
  <c r="C4137" i="1"/>
  <c r="D4137" i="1"/>
  <c r="A4138" i="1"/>
  <c r="B4138" i="1"/>
  <c r="C4138" i="1"/>
  <c r="D4138" i="1"/>
  <c r="A4139" i="1"/>
  <c r="B4139" i="1"/>
  <c r="C4139" i="1"/>
  <c r="D4139" i="1"/>
  <c r="A4140" i="1"/>
  <c r="B4140" i="1"/>
  <c r="C4140" i="1"/>
  <c r="D4140" i="1"/>
  <c r="A4141" i="1"/>
  <c r="B4141" i="1"/>
  <c r="C4141" i="1"/>
  <c r="D4141" i="1"/>
  <c r="A4142" i="1"/>
  <c r="B4142" i="1"/>
  <c r="C4142" i="1"/>
  <c r="D4142" i="1"/>
  <c r="A4143" i="1"/>
  <c r="B4143" i="1"/>
  <c r="C4143" i="1"/>
  <c r="D4143" i="1"/>
  <c r="A4144" i="1"/>
  <c r="B4144" i="1"/>
  <c r="C4144" i="1"/>
  <c r="D4144" i="1"/>
  <c r="A4145" i="1"/>
  <c r="B4145" i="1"/>
  <c r="C4145" i="1"/>
  <c r="D4145" i="1"/>
  <c r="A4146" i="1"/>
  <c r="B4146" i="1"/>
  <c r="C4146" i="1"/>
  <c r="D4146" i="1"/>
  <c r="A4147" i="1"/>
  <c r="B4147" i="1"/>
  <c r="C4147" i="1"/>
  <c r="D4147" i="1"/>
  <c r="A4148" i="1"/>
  <c r="B4148" i="1"/>
  <c r="C4148" i="1"/>
  <c r="D4148" i="1"/>
  <c r="A4149" i="1"/>
  <c r="B4149" i="1"/>
  <c r="C4149" i="1"/>
  <c r="D4149" i="1"/>
  <c r="A4150" i="1"/>
  <c r="B4150" i="1"/>
  <c r="C4150" i="1"/>
  <c r="D4150" i="1"/>
  <c r="A4151" i="1"/>
  <c r="B4151" i="1"/>
  <c r="C4151" i="1"/>
  <c r="D4151" i="1"/>
  <c r="A4152" i="1"/>
  <c r="B4152" i="1"/>
  <c r="C4152" i="1"/>
  <c r="D4152" i="1"/>
  <c r="A4153" i="1"/>
  <c r="B4153" i="1"/>
  <c r="C4153" i="1"/>
  <c r="D4153" i="1"/>
  <c r="A4154" i="1"/>
  <c r="B4154" i="1"/>
  <c r="C4154" i="1"/>
  <c r="D4154" i="1"/>
  <c r="A4155" i="1"/>
  <c r="B4155" i="1"/>
  <c r="C4155" i="1"/>
  <c r="D4155" i="1"/>
  <c r="A4156" i="1"/>
  <c r="B4156" i="1"/>
  <c r="C4156" i="1"/>
  <c r="D4156" i="1"/>
  <c r="A4157" i="1"/>
  <c r="B4157" i="1"/>
  <c r="C4157" i="1"/>
  <c r="D4157" i="1"/>
  <c r="A4158" i="1"/>
  <c r="B4158" i="1"/>
  <c r="C4158" i="1"/>
  <c r="D4158" i="1"/>
  <c r="A4159" i="1"/>
  <c r="B4159" i="1"/>
  <c r="C4159" i="1"/>
  <c r="D4159" i="1"/>
  <c r="A4160" i="1"/>
  <c r="B4160" i="1"/>
  <c r="C4160" i="1"/>
  <c r="D4160" i="1"/>
  <c r="A4161" i="1"/>
  <c r="B4161" i="1"/>
  <c r="C4161" i="1"/>
  <c r="D4161" i="1"/>
  <c r="A4162" i="1"/>
  <c r="B4162" i="1"/>
  <c r="C4162" i="1"/>
  <c r="D4162" i="1"/>
  <c r="A4163" i="1"/>
  <c r="B4163" i="1"/>
  <c r="C4163" i="1"/>
  <c r="D4163" i="1"/>
  <c r="A4164" i="1"/>
  <c r="B4164" i="1"/>
  <c r="C4164" i="1"/>
  <c r="D4164" i="1"/>
  <c r="A4165" i="1"/>
  <c r="B4165" i="1"/>
  <c r="C4165" i="1"/>
  <c r="D4165" i="1"/>
  <c r="A4166" i="1"/>
  <c r="B4166" i="1"/>
  <c r="C4166" i="1"/>
  <c r="D4166" i="1"/>
  <c r="A4167" i="1"/>
  <c r="B4167" i="1"/>
  <c r="C4167" i="1"/>
  <c r="D4167" i="1"/>
  <c r="A4168" i="1"/>
  <c r="B4168" i="1"/>
  <c r="C4168" i="1"/>
  <c r="D4168" i="1"/>
  <c r="A4169" i="1"/>
  <c r="B4169" i="1"/>
  <c r="C4169" i="1"/>
  <c r="D4169" i="1"/>
  <c r="A4170" i="1"/>
  <c r="B4170" i="1"/>
  <c r="C4170" i="1"/>
  <c r="D4170" i="1"/>
  <c r="A4171" i="1"/>
  <c r="B4171" i="1"/>
  <c r="C4171" i="1"/>
  <c r="D4171" i="1"/>
  <c r="A4172" i="1"/>
  <c r="B4172" i="1"/>
  <c r="C4172" i="1"/>
  <c r="D4172" i="1"/>
  <c r="A4173" i="1"/>
  <c r="B4173" i="1"/>
  <c r="C4173" i="1"/>
  <c r="D4173" i="1"/>
  <c r="A4174" i="1"/>
  <c r="B4174" i="1"/>
  <c r="C4174" i="1"/>
  <c r="D4174" i="1"/>
  <c r="A4175" i="1"/>
  <c r="B4175" i="1"/>
  <c r="C4175" i="1"/>
  <c r="D4175" i="1"/>
  <c r="A4176" i="1"/>
  <c r="B4176" i="1"/>
  <c r="C4176" i="1"/>
  <c r="D4176" i="1"/>
  <c r="A4177" i="1"/>
  <c r="B4177" i="1"/>
  <c r="C4177" i="1"/>
  <c r="D4177" i="1"/>
  <c r="A4178" i="1"/>
  <c r="B4178" i="1"/>
  <c r="C4178" i="1"/>
  <c r="D4178" i="1"/>
  <c r="A4179" i="1"/>
  <c r="B4179" i="1"/>
  <c r="C4179" i="1"/>
  <c r="D4179" i="1"/>
  <c r="A4180" i="1"/>
  <c r="B4180" i="1"/>
  <c r="C4180" i="1"/>
  <c r="D4180" i="1"/>
  <c r="A4181" i="1"/>
  <c r="B4181" i="1"/>
  <c r="C4181" i="1"/>
  <c r="D4181" i="1"/>
  <c r="A4182" i="1"/>
  <c r="B4182" i="1"/>
  <c r="C4182" i="1"/>
  <c r="D4182" i="1"/>
  <c r="A4183" i="1"/>
  <c r="B4183" i="1"/>
  <c r="C4183" i="1"/>
  <c r="D4183" i="1"/>
  <c r="A4184" i="1"/>
  <c r="B4184" i="1"/>
  <c r="C4184" i="1"/>
  <c r="D4184" i="1"/>
  <c r="A4185" i="1"/>
  <c r="B4185" i="1"/>
  <c r="C4185" i="1"/>
  <c r="D4185" i="1"/>
  <c r="A4186" i="1"/>
  <c r="B4186" i="1"/>
  <c r="C4186" i="1"/>
  <c r="D4186" i="1"/>
  <c r="A4187" i="1"/>
  <c r="B4187" i="1"/>
  <c r="C4187" i="1"/>
  <c r="D4187" i="1"/>
  <c r="A4188" i="1"/>
  <c r="B4188" i="1"/>
  <c r="C4188" i="1"/>
  <c r="D4188" i="1"/>
  <c r="A4189" i="1"/>
  <c r="B4189" i="1"/>
  <c r="C4189" i="1"/>
  <c r="D4189" i="1"/>
  <c r="A4190" i="1"/>
  <c r="B4190" i="1"/>
  <c r="C4190" i="1"/>
  <c r="D4190" i="1"/>
  <c r="A4191" i="1"/>
  <c r="B4191" i="1"/>
  <c r="C4191" i="1"/>
  <c r="D4191" i="1"/>
  <c r="A4192" i="1"/>
  <c r="B4192" i="1"/>
  <c r="C4192" i="1"/>
  <c r="D4192" i="1"/>
  <c r="A4193" i="1"/>
  <c r="B4193" i="1"/>
  <c r="C4193" i="1"/>
  <c r="D4193" i="1"/>
  <c r="A4194" i="1"/>
  <c r="B4194" i="1"/>
  <c r="C4194" i="1"/>
  <c r="D4194" i="1"/>
  <c r="A4195" i="1"/>
  <c r="B4195" i="1"/>
  <c r="C4195" i="1"/>
  <c r="D4195" i="1"/>
  <c r="A4196" i="1"/>
  <c r="B4196" i="1"/>
  <c r="C4196" i="1"/>
  <c r="D4196" i="1"/>
  <c r="A4197" i="1"/>
  <c r="B4197" i="1"/>
  <c r="C4197" i="1"/>
  <c r="D4197" i="1"/>
  <c r="A4198" i="1"/>
  <c r="B4198" i="1"/>
  <c r="C4198" i="1"/>
  <c r="D4198" i="1"/>
  <c r="A4199" i="1"/>
  <c r="B4199" i="1"/>
  <c r="C4199" i="1"/>
  <c r="D4199" i="1"/>
  <c r="A4200" i="1"/>
  <c r="B4200" i="1"/>
  <c r="C4200" i="1"/>
  <c r="D4200" i="1"/>
  <c r="A4201" i="1"/>
  <c r="B4201" i="1"/>
  <c r="C4201" i="1"/>
  <c r="D4201" i="1"/>
  <c r="A4202" i="1"/>
  <c r="B4202" i="1"/>
  <c r="C4202" i="1"/>
  <c r="D4202" i="1"/>
  <c r="A4203" i="1"/>
  <c r="B4203" i="1"/>
  <c r="C4203" i="1"/>
  <c r="D4203" i="1"/>
  <c r="A4204" i="1"/>
  <c r="B4204" i="1"/>
  <c r="C4204" i="1"/>
  <c r="D4204" i="1"/>
  <c r="A4205" i="1"/>
  <c r="B4205" i="1"/>
  <c r="C4205" i="1"/>
  <c r="D4205" i="1"/>
  <c r="A4206" i="1"/>
  <c r="B4206" i="1"/>
  <c r="C4206" i="1"/>
  <c r="D4206" i="1"/>
  <c r="A4207" i="1"/>
  <c r="B4207" i="1"/>
  <c r="C4207" i="1"/>
  <c r="D4207" i="1"/>
  <c r="A4208" i="1"/>
  <c r="B4208" i="1"/>
  <c r="C4208" i="1"/>
  <c r="D4208" i="1"/>
  <c r="A4209" i="1"/>
  <c r="B4209" i="1"/>
  <c r="C4209" i="1"/>
  <c r="D4209" i="1"/>
  <c r="A4210" i="1"/>
  <c r="B4210" i="1"/>
  <c r="C4210" i="1"/>
  <c r="D4210" i="1"/>
  <c r="A4211" i="1"/>
  <c r="B4211" i="1"/>
  <c r="C4211" i="1"/>
  <c r="D4211" i="1"/>
  <c r="A4212" i="1"/>
  <c r="B4212" i="1"/>
  <c r="C4212" i="1"/>
  <c r="D4212" i="1"/>
  <c r="A4213" i="1"/>
  <c r="B4213" i="1"/>
  <c r="C4213" i="1"/>
  <c r="D4213" i="1"/>
  <c r="A4214" i="1"/>
  <c r="B4214" i="1"/>
  <c r="C4214" i="1"/>
  <c r="D4214" i="1"/>
  <c r="A4215" i="1"/>
  <c r="B4215" i="1"/>
  <c r="C4215" i="1"/>
  <c r="D4215" i="1"/>
  <c r="A4216" i="1"/>
  <c r="B4216" i="1"/>
  <c r="C4216" i="1"/>
  <c r="D4216" i="1"/>
  <c r="A4217" i="1"/>
  <c r="B4217" i="1"/>
  <c r="C4217" i="1"/>
  <c r="D4217" i="1"/>
  <c r="A4218" i="1"/>
  <c r="B4218" i="1"/>
  <c r="C4218" i="1"/>
  <c r="D4218" i="1"/>
  <c r="A4219" i="1"/>
  <c r="B4219" i="1"/>
  <c r="C4219" i="1"/>
  <c r="D4219" i="1"/>
  <c r="A4220" i="1"/>
  <c r="B4220" i="1"/>
  <c r="C4220" i="1"/>
  <c r="D4220" i="1"/>
  <c r="A4221" i="1"/>
  <c r="B4221" i="1"/>
  <c r="C4221" i="1"/>
  <c r="D4221" i="1"/>
  <c r="A4222" i="1"/>
  <c r="B4222" i="1"/>
  <c r="C4222" i="1"/>
  <c r="D4222" i="1"/>
  <c r="A4223" i="1"/>
  <c r="B4223" i="1"/>
  <c r="C4223" i="1"/>
  <c r="D4223" i="1"/>
  <c r="A4224" i="1"/>
  <c r="B4224" i="1"/>
  <c r="C4224" i="1"/>
  <c r="D4224" i="1"/>
  <c r="A4225" i="1"/>
  <c r="B4225" i="1"/>
  <c r="C4225" i="1"/>
  <c r="D4225" i="1"/>
  <c r="A4226" i="1"/>
  <c r="B4226" i="1"/>
  <c r="C4226" i="1"/>
  <c r="D4226" i="1"/>
  <c r="A4227" i="1"/>
  <c r="B4227" i="1"/>
  <c r="C4227" i="1"/>
  <c r="D4227" i="1"/>
  <c r="A4228" i="1"/>
  <c r="B4228" i="1"/>
  <c r="C4228" i="1"/>
  <c r="D4228" i="1"/>
  <c r="A4229" i="1"/>
  <c r="B4229" i="1"/>
  <c r="C4229" i="1"/>
  <c r="D4229" i="1"/>
  <c r="A4230" i="1"/>
  <c r="B4230" i="1"/>
  <c r="C4230" i="1"/>
  <c r="D4230" i="1"/>
  <c r="A4231" i="1"/>
  <c r="B4231" i="1"/>
  <c r="C4231" i="1"/>
  <c r="D4231" i="1"/>
  <c r="A4232" i="1"/>
  <c r="B4232" i="1"/>
  <c r="C4232" i="1"/>
  <c r="D4232" i="1"/>
  <c r="A4233" i="1"/>
  <c r="B4233" i="1"/>
  <c r="C4233" i="1"/>
  <c r="D4233" i="1"/>
  <c r="A4234" i="1"/>
  <c r="B4234" i="1"/>
  <c r="C4234" i="1"/>
  <c r="D4234" i="1"/>
  <c r="A4235" i="1"/>
  <c r="B4235" i="1"/>
  <c r="C4235" i="1"/>
  <c r="D4235" i="1"/>
  <c r="A4236" i="1"/>
  <c r="B4236" i="1"/>
  <c r="C4236" i="1"/>
  <c r="D4236" i="1"/>
  <c r="A4237" i="1"/>
  <c r="B4237" i="1"/>
  <c r="C4237" i="1"/>
  <c r="D4237" i="1"/>
  <c r="A4238" i="1"/>
  <c r="B4238" i="1"/>
  <c r="C4238" i="1"/>
  <c r="D4238" i="1"/>
  <c r="A4239" i="1"/>
  <c r="B4239" i="1"/>
  <c r="C4239" i="1"/>
  <c r="D4239" i="1"/>
  <c r="A4240" i="1"/>
  <c r="B4240" i="1"/>
  <c r="C4240" i="1"/>
  <c r="D4240" i="1"/>
  <c r="A4241" i="1"/>
  <c r="B4241" i="1"/>
  <c r="C4241" i="1"/>
  <c r="D4241" i="1"/>
  <c r="A4242" i="1"/>
  <c r="B4242" i="1"/>
  <c r="C4242" i="1"/>
  <c r="D4242" i="1"/>
  <c r="A4243" i="1"/>
  <c r="B4243" i="1"/>
  <c r="C4243" i="1"/>
  <c r="D4243" i="1"/>
  <c r="A4244" i="1"/>
  <c r="B4244" i="1"/>
  <c r="C4244" i="1"/>
  <c r="D4244" i="1"/>
  <c r="A4245" i="1"/>
  <c r="B4245" i="1"/>
  <c r="C4245" i="1"/>
  <c r="D4245" i="1"/>
  <c r="A4246" i="1"/>
  <c r="B4246" i="1"/>
  <c r="C4246" i="1"/>
  <c r="D4246" i="1"/>
  <c r="A4247" i="1"/>
  <c r="B4247" i="1"/>
  <c r="C4247" i="1"/>
  <c r="D4247" i="1"/>
  <c r="A4248" i="1"/>
  <c r="B4248" i="1"/>
  <c r="C4248" i="1"/>
  <c r="D4248" i="1"/>
  <c r="A4249" i="1"/>
  <c r="B4249" i="1"/>
  <c r="C4249" i="1"/>
  <c r="D4249" i="1"/>
  <c r="A4250" i="1"/>
  <c r="B4250" i="1"/>
  <c r="C4250" i="1"/>
  <c r="D4250" i="1"/>
  <c r="A4251" i="1"/>
  <c r="B4251" i="1"/>
  <c r="C4251" i="1"/>
  <c r="D4251" i="1"/>
  <c r="A4252" i="1"/>
  <c r="B4252" i="1"/>
  <c r="C4252" i="1"/>
  <c r="D4252" i="1"/>
  <c r="A4253" i="1"/>
  <c r="B4253" i="1"/>
  <c r="C4253" i="1"/>
  <c r="D4253" i="1"/>
  <c r="A4254" i="1"/>
  <c r="B4254" i="1"/>
  <c r="C4254" i="1"/>
  <c r="D4254" i="1"/>
  <c r="A4255" i="1"/>
  <c r="B4255" i="1"/>
  <c r="C4255" i="1"/>
  <c r="D4255" i="1"/>
  <c r="A4256" i="1"/>
  <c r="B4256" i="1"/>
  <c r="C4256" i="1"/>
  <c r="D4256" i="1"/>
  <c r="A4257" i="1"/>
  <c r="B4257" i="1"/>
  <c r="C4257" i="1"/>
  <c r="D4257" i="1"/>
  <c r="A4258" i="1"/>
  <c r="B4258" i="1"/>
  <c r="C4258" i="1"/>
  <c r="D4258" i="1"/>
  <c r="A4259" i="1"/>
  <c r="B4259" i="1"/>
  <c r="C4259" i="1"/>
  <c r="D4259" i="1"/>
  <c r="A4260" i="1"/>
  <c r="B4260" i="1"/>
  <c r="C4260" i="1"/>
  <c r="D4260" i="1"/>
  <c r="A4261" i="1"/>
  <c r="B4261" i="1"/>
  <c r="C4261" i="1"/>
  <c r="D4261" i="1"/>
  <c r="A4262" i="1"/>
  <c r="B4262" i="1"/>
  <c r="C4262" i="1"/>
  <c r="D4262" i="1"/>
  <c r="A4263" i="1"/>
  <c r="B4263" i="1"/>
  <c r="C4263" i="1"/>
  <c r="D4263" i="1"/>
  <c r="A4264" i="1"/>
  <c r="B4264" i="1"/>
  <c r="C4264" i="1"/>
  <c r="D4264" i="1"/>
  <c r="A4265" i="1"/>
  <c r="B4265" i="1"/>
  <c r="C4265" i="1"/>
  <c r="D4265" i="1"/>
  <c r="A4266" i="1"/>
  <c r="B4266" i="1"/>
  <c r="C4266" i="1"/>
  <c r="D4266" i="1"/>
  <c r="A4267" i="1"/>
  <c r="B4267" i="1"/>
  <c r="C4267" i="1"/>
  <c r="D4267" i="1"/>
  <c r="A4268" i="1"/>
  <c r="B4268" i="1"/>
  <c r="C4268" i="1"/>
  <c r="D4268" i="1"/>
  <c r="A4269" i="1"/>
  <c r="B4269" i="1"/>
  <c r="C4269" i="1"/>
  <c r="D4269" i="1"/>
  <c r="A4270" i="1"/>
  <c r="B4270" i="1"/>
  <c r="C4270" i="1"/>
  <c r="D4270" i="1"/>
  <c r="A4271" i="1"/>
  <c r="B4271" i="1"/>
  <c r="C4271" i="1"/>
  <c r="D4271" i="1"/>
  <c r="A4272" i="1"/>
  <c r="B4272" i="1"/>
  <c r="C4272" i="1"/>
  <c r="D4272" i="1"/>
  <c r="A4273" i="1"/>
  <c r="B4273" i="1"/>
  <c r="C4273" i="1"/>
  <c r="D4273" i="1"/>
  <c r="A4274" i="1"/>
  <c r="B4274" i="1"/>
  <c r="C4274" i="1"/>
  <c r="D4274" i="1"/>
  <c r="A4275" i="1"/>
  <c r="B4275" i="1"/>
  <c r="C4275" i="1"/>
  <c r="D4275" i="1"/>
  <c r="A4276" i="1"/>
  <c r="B4276" i="1"/>
  <c r="C4276" i="1"/>
  <c r="D4276" i="1"/>
  <c r="A4277" i="1"/>
  <c r="B4277" i="1"/>
  <c r="C4277" i="1"/>
  <c r="D4277" i="1"/>
  <c r="A4278" i="1"/>
  <c r="B4278" i="1"/>
  <c r="C4278" i="1"/>
  <c r="D4278" i="1"/>
  <c r="A4279" i="1"/>
  <c r="B4279" i="1"/>
  <c r="C4279" i="1"/>
  <c r="D4279" i="1"/>
  <c r="A4280" i="1"/>
  <c r="B4280" i="1"/>
  <c r="C4280" i="1"/>
  <c r="D4280" i="1"/>
  <c r="A4281" i="1"/>
  <c r="B4281" i="1"/>
  <c r="C4281" i="1"/>
  <c r="D4281" i="1"/>
  <c r="A4282" i="1"/>
  <c r="B4282" i="1"/>
  <c r="C4282" i="1"/>
  <c r="D4282" i="1"/>
  <c r="A4283" i="1"/>
  <c r="B4283" i="1"/>
  <c r="C4283" i="1"/>
  <c r="D4283" i="1"/>
  <c r="A4284" i="1"/>
  <c r="B4284" i="1"/>
  <c r="C4284" i="1"/>
  <c r="D4284" i="1"/>
  <c r="A4285" i="1"/>
  <c r="B4285" i="1"/>
  <c r="C4285" i="1"/>
  <c r="D4285" i="1"/>
  <c r="A4286" i="1"/>
  <c r="B4286" i="1"/>
  <c r="C4286" i="1"/>
  <c r="D4286" i="1"/>
  <c r="A4287" i="1"/>
  <c r="B4287" i="1"/>
  <c r="C4287" i="1"/>
  <c r="D4287" i="1"/>
  <c r="A4288" i="1"/>
  <c r="B4288" i="1"/>
  <c r="C4288" i="1"/>
  <c r="D4288" i="1"/>
  <c r="A4289" i="1"/>
  <c r="B4289" i="1"/>
  <c r="C4289" i="1"/>
  <c r="D4289" i="1"/>
  <c r="A4290" i="1"/>
  <c r="B4290" i="1"/>
  <c r="C4290" i="1"/>
  <c r="D4290" i="1"/>
  <c r="A4291" i="1"/>
  <c r="B4291" i="1"/>
  <c r="C4291" i="1"/>
  <c r="D4291" i="1"/>
  <c r="A4292" i="1"/>
  <c r="B4292" i="1"/>
  <c r="C4292" i="1"/>
  <c r="D4292" i="1"/>
  <c r="A4293" i="1"/>
  <c r="B4293" i="1"/>
  <c r="C4293" i="1"/>
  <c r="D4293" i="1"/>
  <c r="A4294" i="1"/>
  <c r="B4294" i="1"/>
  <c r="C4294" i="1"/>
  <c r="D4294" i="1"/>
  <c r="A4295" i="1"/>
  <c r="B4295" i="1"/>
  <c r="C4295" i="1"/>
  <c r="D4295" i="1"/>
  <c r="A4296" i="1"/>
  <c r="B4296" i="1"/>
  <c r="C4296" i="1"/>
  <c r="D4296" i="1"/>
  <c r="A4297" i="1"/>
  <c r="B4297" i="1"/>
  <c r="C4297" i="1"/>
  <c r="D4297" i="1"/>
  <c r="A4298" i="1"/>
  <c r="B4298" i="1"/>
  <c r="C4298" i="1"/>
  <c r="D4298" i="1"/>
  <c r="A4299" i="1"/>
  <c r="B4299" i="1"/>
  <c r="C4299" i="1"/>
  <c r="D4299" i="1"/>
  <c r="A4300" i="1"/>
  <c r="B4300" i="1"/>
  <c r="C4300" i="1"/>
  <c r="D4300" i="1"/>
  <c r="A4301" i="1"/>
  <c r="B4301" i="1"/>
  <c r="C4301" i="1"/>
  <c r="D4301" i="1"/>
  <c r="A4302" i="1"/>
  <c r="B4302" i="1"/>
  <c r="C4302" i="1"/>
  <c r="D4302" i="1"/>
  <c r="A4303" i="1"/>
  <c r="B4303" i="1"/>
  <c r="C4303" i="1"/>
  <c r="D4303" i="1"/>
  <c r="A4304" i="1"/>
  <c r="B4304" i="1"/>
  <c r="C4304" i="1"/>
  <c r="D4304" i="1"/>
  <c r="A4305" i="1"/>
  <c r="B4305" i="1"/>
  <c r="C4305" i="1"/>
  <c r="D4305" i="1"/>
  <c r="A4306" i="1"/>
  <c r="B4306" i="1"/>
  <c r="C4306" i="1"/>
  <c r="D4306" i="1"/>
  <c r="A4307" i="1"/>
  <c r="B4307" i="1"/>
  <c r="C4307" i="1"/>
  <c r="D4307" i="1"/>
  <c r="A4308" i="1"/>
  <c r="B4308" i="1"/>
  <c r="C4308" i="1"/>
  <c r="D4308" i="1"/>
  <c r="A4309" i="1"/>
  <c r="B4309" i="1"/>
  <c r="C4309" i="1"/>
  <c r="D4309" i="1"/>
  <c r="A4310" i="1"/>
  <c r="B4310" i="1"/>
  <c r="C4310" i="1"/>
  <c r="D4310" i="1"/>
  <c r="A4311" i="1"/>
  <c r="B4311" i="1"/>
  <c r="C4311" i="1"/>
  <c r="D4311" i="1"/>
  <c r="A4312" i="1"/>
  <c r="B4312" i="1"/>
  <c r="C4312" i="1"/>
  <c r="D4312" i="1"/>
  <c r="A4313" i="1"/>
  <c r="B4313" i="1"/>
  <c r="C4313" i="1"/>
  <c r="D4313" i="1"/>
  <c r="A4314" i="1"/>
  <c r="B4314" i="1"/>
  <c r="C4314" i="1"/>
  <c r="D4314" i="1"/>
  <c r="A4315" i="1"/>
  <c r="B4315" i="1"/>
  <c r="C4315" i="1"/>
  <c r="D4315" i="1"/>
  <c r="A4316" i="1"/>
  <c r="B4316" i="1"/>
  <c r="C4316" i="1"/>
  <c r="D4316" i="1"/>
  <c r="A4317" i="1"/>
  <c r="B4317" i="1"/>
  <c r="C4317" i="1"/>
  <c r="D4317" i="1"/>
  <c r="A4318" i="1"/>
  <c r="B4318" i="1"/>
  <c r="C4318" i="1"/>
  <c r="D4318" i="1"/>
  <c r="A4319" i="1"/>
  <c r="B4319" i="1"/>
  <c r="C4319" i="1"/>
  <c r="D4319" i="1"/>
  <c r="A4320" i="1"/>
  <c r="B4320" i="1"/>
  <c r="C4320" i="1"/>
  <c r="D4320" i="1"/>
  <c r="A4321" i="1"/>
  <c r="B4321" i="1"/>
  <c r="C4321" i="1"/>
  <c r="D4321" i="1"/>
  <c r="A4322" i="1"/>
  <c r="B4322" i="1"/>
  <c r="C4322" i="1"/>
  <c r="D4322" i="1"/>
  <c r="A4323" i="1"/>
  <c r="B4323" i="1"/>
  <c r="C4323" i="1"/>
  <c r="D4323" i="1"/>
  <c r="A4324" i="1"/>
  <c r="B4324" i="1"/>
  <c r="C4324" i="1"/>
  <c r="D4324" i="1"/>
  <c r="A4325" i="1"/>
  <c r="B4325" i="1"/>
  <c r="C4325" i="1"/>
  <c r="D4325" i="1"/>
  <c r="A4326" i="1"/>
  <c r="B4326" i="1"/>
  <c r="C4326" i="1"/>
  <c r="D4326" i="1"/>
  <c r="A4327" i="1"/>
  <c r="B4327" i="1"/>
  <c r="C4327" i="1"/>
  <c r="D4327" i="1"/>
  <c r="A4328" i="1"/>
  <c r="B4328" i="1"/>
  <c r="C4328" i="1"/>
  <c r="D4328" i="1"/>
  <c r="A4329" i="1"/>
  <c r="B4329" i="1"/>
  <c r="C4329" i="1"/>
  <c r="D4329" i="1"/>
  <c r="A4330" i="1"/>
  <c r="B4330" i="1"/>
  <c r="C4330" i="1"/>
  <c r="D4330" i="1"/>
  <c r="A4331" i="1"/>
  <c r="B4331" i="1"/>
  <c r="C4331" i="1"/>
  <c r="D4331" i="1"/>
  <c r="A4332" i="1"/>
  <c r="B4332" i="1"/>
  <c r="C4332" i="1"/>
  <c r="D4332" i="1"/>
  <c r="A4333" i="1"/>
  <c r="B4333" i="1"/>
  <c r="C4333" i="1"/>
  <c r="D4333" i="1"/>
  <c r="A4334" i="1"/>
  <c r="B4334" i="1"/>
  <c r="C4334" i="1"/>
  <c r="D4334" i="1"/>
  <c r="A4335" i="1"/>
  <c r="B4335" i="1"/>
  <c r="C4335" i="1"/>
  <c r="D4335" i="1"/>
  <c r="A4336" i="1"/>
  <c r="B4336" i="1"/>
  <c r="C4336" i="1"/>
  <c r="D4336" i="1"/>
  <c r="A4337" i="1"/>
  <c r="B4337" i="1"/>
  <c r="C4337" i="1"/>
  <c r="D4337" i="1"/>
  <c r="A4338" i="1"/>
  <c r="B4338" i="1"/>
  <c r="C4338" i="1"/>
  <c r="D4338" i="1"/>
  <c r="A4339" i="1"/>
  <c r="B4339" i="1"/>
  <c r="C4339" i="1"/>
  <c r="D4339" i="1"/>
  <c r="A4340" i="1"/>
  <c r="B4340" i="1"/>
  <c r="C4340" i="1"/>
  <c r="D4340" i="1"/>
  <c r="A4341" i="1"/>
  <c r="B4341" i="1"/>
  <c r="C4341" i="1"/>
  <c r="D4341" i="1"/>
  <c r="A4342" i="1"/>
  <c r="B4342" i="1"/>
  <c r="C4342" i="1"/>
  <c r="D4342" i="1"/>
  <c r="A4343" i="1"/>
  <c r="B4343" i="1"/>
  <c r="C4343" i="1"/>
  <c r="D4343" i="1"/>
  <c r="A4344" i="1"/>
  <c r="B4344" i="1"/>
  <c r="C4344" i="1"/>
  <c r="D4344" i="1"/>
  <c r="A4345" i="1"/>
  <c r="B4345" i="1"/>
  <c r="C4345" i="1"/>
  <c r="D4345" i="1"/>
  <c r="A4346" i="1"/>
  <c r="B4346" i="1"/>
  <c r="C4346" i="1"/>
  <c r="D4346" i="1"/>
  <c r="A4347" i="1"/>
  <c r="B4347" i="1"/>
  <c r="C4347" i="1"/>
  <c r="D4347" i="1"/>
  <c r="A4348" i="1"/>
  <c r="B4348" i="1"/>
  <c r="C4348" i="1"/>
  <c r="D4348" i="1"/>
  <c r="A4349" i="1"/>
  <c r="B4349" i="1"/>
  <c r="C4349" i="1"/>
  <c r="D4349" i="1"/>
  <c r="A4350" i="1"/>
  <c r="B4350" i="1"/>
  <c r="C4350" i="1"/>
  <c r="D4350" i="1"/>
  <c r="A4351" i="1"/>
  <c r="B4351" i="1"/>
  <c r="C4351" i="1"/>
  <c r="D4351" i="1"/>
  <c r="A4352" i="1"/>
  <c r="B4352" i="1"/>
  <c r="C4352" i="1"/>
  <c r="D4352" i="1"/>
  <c r="A4353" i="1"/>
  <c r="B4353" i="1"/>
  <c r="C4353" i="1"/>
  <c r="D4353" i="1"/>
  <c r="A4354" i="1"/>
  <c r="B4354" i="1"/>
  <c r="C4354" i="1"/>
  <c r="D4354" i="1"/>
  <c r="A4355" i="1"/>
  <c r="B4355" i="1"/>
  <c r="C4355" i="1"/>
  <c r="D4355" i="1"/>
  <c r="A4356" i="1"/>
  <c r="B4356" i="1"/>
  <c r="C4356" i="1"/>
  <c r="D4356" i="1"/>
  <c r="A4357" i="1"/>
  <c r="B4357" i="1"/>
  <c r="C4357" i="1"/>
  <c r="D4357" i="1"/>
  <c r="A4358" i="1"/>
  <c r="B4358" i="1"/>
  <c r="C4358" i="1"/>
  <c r="D4358" i="1"/>
  <c r="A4359" i="1"/>
  <c r="B4359" i="1"/>
  <c r="C4359" i="1"/>
  <c r="D4359" i="1"/>
  <c r="A4360" i="1"/>
  <c r="B4360" i="1"/>
  <c r="C4360" i="1"/>
  <c r="D4360" i="1"/>
  <c r="A4361" i="1"/>
  <c r="B4361" i="1"/>
  <c r="C4361" i="1"/>
  <c r="D4361" i="1"/>
  <c r="A4362" i="1"/>
  <c r="B4362" i="1"/>
  <c r="C4362" i="1"/>
  <c r="D4362" i="1"/>
  <c r="A4363" i="1"/>
  <c r="B4363" i="1"/>
  <c r="C4363" i="1"/>
  <c r="D4363" i="1"/>
  <c r="A4364" i="1"/>
  <c r="B4364" i="1"/>
  <c r="C4364" i="1"/>
  <c r="D4364" i="1"/>
  <c r="A4365" i="1"/>
  <c r="B4365" i="1"/>
  <c r="C4365" i="1"/>
  <c r="D4365" i="1"/>
  <c r="A4366" i="1"/>
  <c r="B4366" i="1"/>
  <c r="C4366" i="1"/>
  <c r="D4366" i="1"/>
  <c r="A4367" i="1"/>
  <c r="B4367" i="1"/>
  <c r="C4367" i="1"/>
  <c r="D4367" i="1"/>
  <c r="A4368" i="1"/>
  <c r="B4368" i="1"/>
  <c r="C4368" i="1"/>
  <c r="D4368" i="1"/>
  <c r="A4369" i="1"/>
  <c r="B4369" i="1"/>
  <c r="C4369" i="1"/>
  <c r="D4369" i="1"/>
  <c r="A4370" i="1"/>
  <c r="B4370" i="1"/>
  <c r="C4370" i="1"/>
  <c r="D4370" i="1"/>
  <c r="A4371" i="1"/>
  <c r="B4371" i="1"/>
  <c r="C4371" i="1"/>
  <c r="D4371" i="1"/>
  <c r="A4372" i="1"/>
  <c r="B4372" i="1"/>
  <c r="C4372" i="1"/>
  <c r="D4372" i="1"/>
  <c r="A4373" i="1"/>
  <c r="B4373" i="1"/>
  <c r="C4373" i="1"/>
  <c r="D4373" i="1"/>
  <c r="A4374" i="1"/>
  <c r="B4374" i="1"/>
  <c r="C4374" i="1"/>
  <c r="D4374" i="1"/>
  <c r="A4375" i="1"/>
  <c r="B4375" i="1"/>
  <c r="C4375" i="1"/>
  <c r="D4375" i="1"/>
  <c r="A4376" i="1"/>
  <c r="B4376" i="1"/>
  <c r="C4376" i="1"/>
  <c r="D4376" i="1"/>
  <c r="A4377" i="1"/>
  <c r="B4377" i="1"/>
  <c r="C4377" i="1"/>
  <c r="D4377" i="1"/>
  <c r="A4378" i="1"/>
  <c r="B4378" i="1"/>
  <c r="C4378" i="1"/>
  <c r="D4378" i="1"/>
  <c r="A4379" i="1"/>
  <c r="B4379" i="1"/>
  <c r="C4379" i="1"/>
  <c r="D4379" i="1"/>
  <c r="A4380" i="1"/>
  <c r="B4380" i="1"/>
  <c r="C4380" i="1"/>
  <c r="D4380" i="1"/>
  <c r="A4381" i="1"/>
  <c r="B4381" i="1"/>
  <c r="C4381" i="1"/>
  <c r="D4381" i="1"/>
  <c r="A4382" i="1"/>
  <c r="B4382" i="1"/>
  <c r="C4382" i="1"/>
  <c r="D4382" i="1"/>
  <c r="A4383" i="1"/>
  <c r="B4383" i="1"/>
  <c r="C4383" i="1"/>
  <c r="D4383" i="1"/>
  <c r="A4384" i="1"/>
  <c r="B4384" i="1"/>
  <c r="C4384" i="1"/>
  <c r="D4384" i="1"/>
  <c r="A4385" i="1"/>
  <c r="B4385" i="1"/>
  <c r="C4385" i="1"/>
  <c r="D4385" i="1"/>
  <c r="A4386" i="1"/>
  <c r="B4386" i="1"/>
  <c r="C4386" i="1"/>
  <c r="D4386" i="1"/>
  <c r="A4387" i="1"/>
  <c r="B4387" i="1"/>
  <c r="C4387" i="1"/>
  <c r="D4387" i="1"/>
  <c r="A4388" i="1"/>
  <c r="B4388" i="1"/>
  <c r="C4388" i="1"/>
  <c r="D4388" i="1"/>
  <c r="A4389" i="1"/>
  <c r="B4389" i="1"/>
  <c r="C4389" i="1"/>
  <c r="D4389" i="1"/>
  <c r="A4390" i="1"/>
  <c r="B4390" i="1"/>
  <c r="C4390" i="1"/>
  <c r="D4390" i="1"/>
  <c r="A4391" i="1"/>
  <c r="B4391" i="1"/>
  <c r="C4391" i="1"/>
  <c r="D4391" i="1"/>
  <c r="A4392" i="1"/>
  <c r="B4392" i="1"/>
  <c r="C4392" i="1"/>
  <c r="D4392" i="1"/>
  <c r="A4393" i="1"/>
  <c r="B4393" i="1"/>
  <c r="C4393" i="1"/>
  <c r="D4393" i="1"/>
  <c r="A4394" i="1"/>
  <c r="B4394" i="1"/>
  <c r="C4394" i="1"/>
  <c r="D4394" i="1"/>
  <c r="A4395" i="1"/>
  <c r="B4395" i="1"/>
  <c r="C4395" i="1"/>
  <c r="D4395" i="1"/>
  <c r="A4396" i="1"/>
  <c r="B4396" i="1"/>
  <c r="C4396" i="1"/>
  <c r="D4396" i="1"/>
  <c r="A4397" i="1"/>
  <c r="B4397" i="1"/>
  <c r="C4397" i="1"/>
  <c r="D4397" i="1"/>
  <c r="A4398" i="1"/>
  <c r="B4398" i="1"/>
  <c r="C4398" i="1"/>
  <c r="D4398" i="1"/>
  <c r="A4399" i="1"/>
  <c r="B4399" i="1"/>
  <c r="C4399" i="1"/>
  <c r="D4399" i="1"/>
  <c r="A4400" i="1"/>
  <c r="B4400" i="1"/>
  <c r="C4400" i="1"/>
  <c r="D4400" i="1"/>
  <c r="A4401" i="1"/>
  <c r="B4401" i="1"/>
  <c r="C4401" i="1"/>
  <c r="D4401" i="1"/>
  <c r="A4402" i="1"/>
  <c r="B4402" i="1"/>
  <c r="C4402" i="1"/>
  <c r="D4402" i="1"/>
  <c r="A4403" i="1"/>
  <c r="B4403" i="1"/>
  <c r="C4403" i="1"/>
  <c r="D4403" i="1"/>
  <c r="A4404" i="1"/>
  <c r="B4404" i="1"/>
  <c r="C4404" i="1"/>
  <c r="D4404" i="1"/>
  <c r="A4405" i="1"/>
  <c r="B4405" i="1"/>
  <c r="C4405" i="1"/>
  <c r="D4405" i="1"/>
  <c r="A4406" i="1"/>
  <c r="B4406" i="1"/>
  <c r="C4406" i="1"/>
  <c r="D4406" i="1"/>
  <c r="A4407" i="1"/>
  <c r="B4407" i="1"/>
  <c r="C4407" i="1"/>
  <c r="D4407" i="1"/>
  <c r="A4408" i="1"/>
  <c r="B4408" i="1"/>
  <c r="C4408" i="1"/>
  <c r="D4408" i="1"/>
  <c r="A4409" i="1"/>
  <c r="B4409" i="1"/>
  <c r="C4409" i="1"/>
  <c r="D4409" i="1"/>
  <c r="A4410" i="1"/>
  <c r="B4410" i="1"/>
  <c r="C4410" i="1"/>
  <c r="D4410" i="1"/>
  <c r="A4411" i="1"/>
  <c r="B4411" i="1"/>
  <c r="C4411" i="1"/>
  <c r="D4411" i="1"/>
  <c r="A4412" i="1"/>
  <c r="B4412" i="1"/>
  <c r="C4412" i="1"/>
  <c r="D4412" i="1"/>
  <c r="A4413" i="1"/>
  <c r="B4413" i="1"/>
  <c r="C4413" i="1"/>
  <c r="D4413" i="1"/>
  <c r="A4414" i="1"/>
  <c r="B4414" i="1"/>
  <c r="C4414" i="1"/>
  <c r="D4414" i="1"/>
  <c r="A4415" i="1"/>
  <c r="B4415" i="1"/>
  <c r="C4415" i="1"/>
  <c r="D4415" i="1"/>
  <c r="A4416" i="1"/>
  <c r="B4416" i="1"/>
  <c r="C4416" i="1"/>
  <c r="D4416" i="1"/>
  <c r="A4417" i="1"/>
  <c r="B4417" i="1"/>
  <c r="C4417" i="1"/>
  <c r="D4417" i="1"/>
  <c r="A4418" i="1"/>
  <c r="B4418" i="1"/>
  <c r="C4418" i="1"/>
  <c r="D4418" i="1"/>
  <c r="A4419" i="1"/>
  <c r="B4419" i="1"/>
  <c r="C4419" i="1"/>
  <c r="D4419" i="1"/>
  <c r="A4420" i="1"/>
  <c r="B4420" i="1"/>
  <c r="C4420" i="1"/>
  <c r="D4420" i="1"/>
  <c r="A4421" i="1"/>
  <c r="B4421" i="1"/>
  <c r="C4421" i="1"/>
  <c r="D4421" i="1"/>
  <c r="A4422" i="1"/>
  <c r="B4422" i="1"/>
  <c r="C4422" i="1"/>
  <c r="D4422" i="1"/>
  <c r="A4423" i="1"/>
  <c r="B4423" i="1"/>
  <c r="C4423" i="1"/>
  <c r="D4423" i="1"/>
  <c r="A4424" i="1"/>
  <c r="B4424" i="1"/>
  <c r="C4424" i="1"/>
  <c r="D4424" i="1"/>
  <c r="A4425" i="1"/>
  <c r="B4425" i="1"/>
  <c r="C4425" i="1"/>
  <c r="D4425" i="1"/>
  <c r="A4426" i="1"/>
  <c r="B4426" i="1"/>
  <c r="C4426" i="1"/>
  <c r="D4426" i="1"/>
  <c r="A4427" i="1"/>
  <c r="B4427" i="1"/>
  <c r="C4427" i="1"/>
  <c r="D4427" i="1"/>
  <c r="A4428" i="1"/>
  <c r="B4428" i="1"/>
  <c r="C4428" i="1"/>
  <c r="D4428" i="1"/>
  <c r="A4429" i="1"/>
  <c r="B4429" i="1"/>
  <c r="C4429" i="1"/>
  <c r="D4429" i="1"/>
  <c r="A4430" i="1"/>
  <c r="B4430" i="1"/>
  <c r="C4430" i="1"/>
  <c r="D4430" i="1"/>
  <c r="A4431" i="1"/>
  <c r="B4431" i="1"/>
  <c r="C4431" i="1"/>
  <c r="D4431" i="1"/>
  <c r="A4432" i="1"/>
  <c r="B4432" i="1"/>
  <c r="C4432" i="1"/>
  <c r="D4432" i="1"/>
  <c r="A4433" i="1"/>
  <c r="B4433" i="1"/>
  <c r="C4433" i="1"/>
  <c r="D4433" i="1"/>
  <c r="A4434" i="1"/>
  <c r="B4434" i="1"/>
  <c r="C4434" i="1"/>
  <c r="D4434" i="1"/>
  <c r="A4435" i="1"/>
  <c r="B4435" i="1"/>
  <c r="C4435" i="1"/>
  <c r="D4435" i="1"/>
  <c r="A4436" i="1"/>
  <c r="B4436" i="1"/>
  <c r="C4436" i="1"/>
  <c r="D4436" i="1"/>
  <c r="A4437" i="1"/>
  <c r="B4437" i="1"/>
  <c r="C4437" i="1"/>
  <c r="D4437" i="1"/>
  <c r="A4438" i="1"/>
  <c r="B4438" i="1"/>
  <c r="C4438" i="1"/>
  <c r="D4438" i="1"/>
  <c r="A4439" i="1"/>
  <c r="B4439" i="1"/>
  <c r="C4439" i="1"/>
  <c r="D4439" i="1"/>
  <c r="A4440" i="1"/>
  <c r="B4440" i="1"/>
  <c r="C4440" i="1"/>
  <c r="D4440" i="1"/>
  <c r="A4441" i="1"/>
  <c r="B4441" i="1"/>
  <c r="C4441" i="1"/>
  <c r="D4441" i="1"/>
  <c r="A4442" i="1"/>
  <c r="B4442" i="1"/>
  <c r="C4442" i="1"/>
  <c r="D4442" i="1"/>
  <c r="A4443" i="1"/>
  <c r="B4443" i="1"/>
  <c r="C4443" i="1"/>
  <c r="D4443" i="1"/>
  <c r="A4444" i="1"/>
  <c r="B4444" i="1"/>
  <c r="C4444" i="1"/>
  <c r="D4444" i="1"/>
  <c r="A4445" i="1"/>
  <c r="B4445" i="1"/>
  <c r="C4445" i="1"/>
  <c r="D4445" i="1"/>
  <c r="A4446" i="1"/>
  <c r="B4446" i="1"/>
  <c r="C4446" i="1"/>
  <c r="D4446" i="1"/>
  <c r="A4447" i="1"/>
  <c r="B4447" i="1"/>
  <c r="C4447" i="1"/>
  <c r="D4447" i="1"/>
  <c r="A4448" i="1"/>
  <c r="B4448" i="1"/>
  <c r="C4448" i="1"/>
  <c r="D4448" i="1"/>
  <c r="A4449" i="1"/>
  <c r="B4449" i="1"/>
  <c r="C4449" i="1"/>
  <c r="D4449" i="1"/>
  <c r="A4450" i="1"/>
  <c r="B4450" i="1"/>
  <c r="C4450" i="1"/>
  <c r="D4450" i="1"/>
  <c r="A4451" i="1"/>
  <c r="B4451" i="1"/>
  <c r="C4451" i="1"/>
  <c r="D4451" i="1"/>
  <c r="A4452" i="1"/>
  <c r="B4452" i="1"/>
  <c r="C4452" i="1"/>
  <c r="D4452" i="1"/>
  <c r="A4453" i="1"/>
  <c r="B4453" i="1"/>
  <c r="C4453" i="1"/>
  <c r="D4453" i="1"/>
  <c r="A4454" i="1"/>
  <c r="B4454" i="1"/>
  <c r="C4454" i="1"/>
  <c r="D4454" i="1"/>
  <c r="A4455" i="1"/>
  <c r="B4455" i="1"/>
  <c r="C4455" i="1"/>
  <c r="D4455" i="1"/>
  <c r="A4456" i="1"/>
  <c r="B4456" i="1"/>
  <c r="C4456" i="1"/>
  <c r="D4456" i="1"/>
  <c r="A4457" i="1"/>
  <c r="B4457" i="1"/>
  <c r="C4457" i="1"/>
  <c r="D4457" i="1"/>
  <c r="A4458" i="1"/>
  <c r="B4458" i="1"/>
  <c r="C4458" i="1"/>
  <c r="D4458" i="1"/>
  <c r="A4459" i="1"/>
  <c r="B4459" i="1"/>
  <c r="C4459" i="1"/>
  <c r="D4459" i="1"/>
  <c r="A4460" i="1"/>
  <c r="B4460" i="1"/>
  <c r="C4460" i="1"/>
  <c r="D4460" i="1"/>
  <c r="A4461" i="1"/>
  <c r="B4461" i="1"/>
  <c r="C4461" i="1"/>
  <c r="D4461" i="1"/>
  <c r="A4462" i="1"/>
  <c r="B4462" i="1"/>
  <c r="C4462" i="1"/>
  <c r="D4462" i="1"/>
  <c r="A4463" i="1"/>
  <c r="B4463" i="1"/>
  <c r="C4463" i="1"/>
  <c r="D4463" i="1"/>
  <c r="A4464" i="1"/>
  <c r="B4464" i="1"/>
  <c r="C4464" i="1"/>
  <c r="D4464" i="1"/>
  <c r="A4465" i="1"/>
  <c r="B4465" i="1"/>
  <c r="C4465" i="1"/>
  <c r="D4465" i="1"/>
  <c r="A4466" i="1"/>
  <c r="B4466" i="1"/>
  <c r="C4466" i="1"/>
  <c r="D4466" i="1"/>
  <c r="A4467" i="1"/>
  <c r="B4467" i="1"/>
  <c r="C4467" i="1"/>
  <c r="D4467" i="1"/>
  <c r="A4468" i="1"/>
  <c r="B4468" i="1"/>
  <c r="C4468" i="1"/>
  <c r="D4468" i="1"/>
  <c r="A4469" i="1"/>
  <c r="B4469" i="1"/>
  <c r="C4469" i="1"/>
  <c r="D4469" i="1"/>
  <c r="A4470" i="1"/>
  <c r="B4470" i="1"/>
  <c r="C4470" i="1"/>
  <c r="D4470" i="1"/>
  <c r="A4471" i="1"/>
  <c r="B4471" i="1"/>
  <c r="C4471" i="1"/>
  <c r="D4471" i="1"/>
  <c r="A4472" i="1"/>
  <c r="B4472" i="1"/>
  <c r="C4472" i="1"/>
  <c r="D4472" i="1"/>
  <c r="A4473" i="1"/>
  <c r="B4473" i="1"/>
  <c r="C4473" i="1"/>
  <c r="D4473" i="1"/>
  <c r="A4474" i="1"/>
  <c r="B4474" i="1"/>
  <c r="C4474" i="1"/>
  <c r="D4474" i="1"/>
  <c r="A4475" i="1"/>
  <c r="B4475" i="1"/>
  <c r="C4475" i="1"/>
  <c r="D4475" i="1"/>
  <c r="A4476" i="1"/>
  <c r="B4476" i="1"/>
  <c r="C4476" i="1"/>
  <c r="D4476" i="1"/>
  <c r="A4477" i="1"/>
  <c r="B4477" i="1"/>
  <c r="C4477" i="1"/>
  <c r="D4477" i="1"/>
  <c r="A4478" i="1"/>
  <c r="B4478" i="1"/>
  <c r="C4478" i="1"/>
  <c r="D4478" i="1"/>
  <c r="A4479" i="1"/>
  <c r="B4479" i="1"/>
  <c r="C4479" i="1"/>
  <c r="D4479" i="1"/>
  <c r="A4480" i="1"/>
  <c r="B4480" i="1"/>
  <c r="C4480" i="1"/>
  <c r="D4480" i="1"/>
  <c r="A4481" i="1"/>
  <c r="B4481" i="1"/>
  <c r="C4481" i="1"/>
  <c r="D4481" i="1"/>
  <c r="A4482" i="1"/>
  <c r="B4482" i="1"/>
  <c r="C4482" i="1"/>
  <c r="D4482" i="1"/>
  <c r="A4483" i="1"/>
  <c r="B4483" i="1"/>
  <c r="C4483" i="1"/>
  <c r="D4483" i="1"/>
  <c r="A4484" i="1"/>
  <c r="B4484" i="1"/>
  <c r="C4484" i="1"/>
  <c r="D4484" i="1"/>
  <c r="A4485" i="1"/>
  <c r="B4485" i="1"/>
  <c r="C4485" i="1"/>
  <c r="D4485" i="1"/>
  <c r="A4486" i="1"/>
  <c r="B4486" i="1"/>
  <c r="C4486" i="1"/>
  <c r="D4486" i="1"/>
  <c r="A4487" i="1"/>
  <c r="B4487" i="1"/>
  <c r="C4487" i="1"/>
  <c r="D4487" i="1"/>
  <c r="A4488" i="1"/>
  <c r="B4488" i="1"/>
  <c r="C4488" i="1"/>
  <c r="D4488" i="1"/>
  <c r="A4489" i="1"/>
  <c r="B4489" i="1"/>
  <c r="C4489" i="1"/>
  <c r="D4489" i="1"/>
  <c r="A4490" i="1"/>
  <c r="B4490" i="1"/>
  <c r="C4490" i="1"/>
  <c r="D4490" i="1"/>
  <c r="A4491" i="1"/>
  <c r="B4491" i="1"/>
  <c r="C4491" i="1"/>
  <c r="D4491" i="1"/>
  <c r="A4492" i="1"/>
  <c r="B4492" i="1"/>
  <c r="C4492" i="1"/>
  <c r="D4492" i="1"/>
  <c r="A4493" i="1"/>
  <c r="B4493" i="1"/>
  <c r="C4493" i="1"/>
  <c r="D4493" i="1"/>
  <c r="A4494" i="1"/>
  <c r="B4494" i="1"/>
  <c r="C4494" i="1"/>
  <c r="D4494" i="1"/>
  <c r="A4495" i="1"/>
  <c r="B4495" i="1"/>
  <c r="C4495" i="1"/>
  <c r="D4495" i="1"/>
  <c r="A4496" i="1"/>
  <c r="B4496" i="1"/>
  <c r="C4496" i="1"/>
  <c r="D4496" i="1"/>
  <c r="A4497" i="1"/>
  <c r="B4497" i="1"/>
  <c r="C4497" i="1"/>
  <c r="D4497" i="1"/>
  <c r="A4498" i="1"/>
  <c r="B4498" i="1"/>
  <c r="C4498" i="1"/>
  <c r="D4498" i="1"/>
  <c r="A4499" i="1"/>
  <c r="B4499" i="1"/>
  <c r="C4499" i="1"/>
  <c r="D4499" i="1"/>
  <c r="A4500" i="1"/>
  <c r="B4500" i="1"/>
  <c r="C4500" i="1"/>
  <c r="D4500" i="1"/>
  <c r="A4501" i="1"/>
  <c r="B4501" i="1"/>
  <c r="C4501" i="1"/>
  <c r="D4501" i="1"/>
  <c r="A4502" i="1"/>
  <c r="B4502" i="1"/>
  <c r="C4502" i="1"/>
  <c r="D4502" i="1"/>
  <c r="A4503" i="1"/>
  <c r="B4503" i="1"/>
  <c r="C4503" i="1"/>
  <c r="D4503" i="1"/>
  <c r="A4504" i="1"/>
  <c r="B4504" i="1"/>
  <c r="C4504" i="1"/>
  <c r="D4504" i="1"/>
  <c r="A4505" i="1"/>
  <c r="B4505" i="1"/>
  <c r="C4505" i="1"/>
  <c r="D4505" i="1"/>
  <c r="A4506" i="1"/>
  <c r="B4506" i="1"/>
  <c r="C4506" i="1"/>
  <c r="D4506" i="1"/>
  <c r="A4507" i="1"/>
  <c r="B4507" i="1"/>
  <c r="C4507" i="1"/>
  <c r="D4507" i="1"/>
  <c r="A4508" i="1"/>
  <c r="B4508" i="1"/>
  <c r="C4508" i="1"/>
  <c r="D4508" i="1"/>
  <c r="A4509" i="1"/>
  <c r="B4509" i="1"/>
  <c r="C4509" i="1"/>
  <c r="D4509" i="1"/>
  <c r="A4510" i="1"/>
  <c r="B4510" i="1"/>
  <c r="C4510" i="1"/>
  <c r="D4510" i="1"/>
  <c r="A4511" i="1"/>
  <c r="B4511" i="1"/>
  <c r="C4511" i="1"/>
  <c r="D4511" i="1"/>
  <c r="A4512" i="1"/>
  <c r="B4512" i="1"/>
  <c r="C4512" i="1"/>
  <c r="D4512" i="1"/>
  <c r="A4513" i="1"/>
  <c r="B4513" i="1"/>
  <c r="C4513" i="1"/>
  <c r="D4513" i="1"/>
  <c r="A4514" i="1"/>
  <c r="B4514" i="1"/>
  <c r="C4514" i="1"/>
  <c r="D4514" i="1"/>
  <c r="A4515" i="1"/>
  <c r="B4515" i="1"/>
  <c r="C4515" i="1"/>
  <c r="D4515" i="1"/>
  <c r="A4516" i="1"/>
  <c r="B4516" i="1"/>
  <c r="C4516" i="1"/>
  <c r="D4516" i="1"/>
  <c r="A4517" i="1"/>
  <c r="B4517" i="1"/>
  <c r="C4517" i="1"/>
  <c r="D4517" i="1"/>
  <c r="A4518" i="1"/>
  <c r="B4518" i="1"/>
  <c r="C4518" i="1"/>
  <c r="D4518" i="1"/>
  <c r="A4519" i="1"/>
  <c r="B4519" i="1"/>
  <c r="C4519" i="1"/>
  <c r="D4519" i="1"/>
  <c r="A4520" i="1"/>
  <c r="B4520" i="1"/>
  <c r="C4520" i="1"/>
  <c r="D4520" i="1"/>
  <c r="A4521" i="1"/>
  <c r="B4521" i="1"/>
  <c r="C4521" i="1"/>
  <c r="D4521" i="1"/>
  <c r="A4522" i="1"/>
  <c r="B4522" i="1"/>
  <c r="C4522" i="1"/>
  <c r="D4522" i="1"/>
  <c r="A4523" i="1"/>
  <c r="B4523" i="1"/>
  <c r="C4523" i="1"/>
  <c r="D4523" i="1"/>
  <c r="A4524" i="1"/>
  <c r="B4524" i="1"/>
  <c r="C4524" i="1"/>
  <c r="D4524" i="1"/>
  <c r="A4525" i="1"/>
  <c r="B4525" i="1"/>
  <c r="C4525" i="1"/>
  <c r="D4525" i="1"/>
  <c r="A4526" i="1"/>
  <c r="B4526" i="1"/>
  <c r="C4526" i="1"/>
  <c r="D4526" i="1"/>
  <c r="A4527" i="1"/>
  <c r="B4527" i="1"/>
  <c r="C4527" i="1"/>
  <c r="D4527" i="1"/>
  <c r="A4528" i="1"/>
  <c r="B4528" i="1"/>
  <c r="C4528" i="1"/>
  <c r="D4528" i="1"/>
  <c r="A4529" i="1"/>
  <c r="B4529" i="1"/>
  <c r="C4529" i="1"/>
  <c r="D4529" i="1"/>
  <c r="A4530" i="1"/>
  <c r="B4530" i="1"/>
  <c r="C4530" i="1"/>
  <c r="D4530" i="1"/>
  <c r="A4531" i="1"/>
  <c r="B4531" i="1"/>
  <c r="C4531" i="1"/>
  <c r="D4531" i="1"/>
  <c r="A4532" i="1"/>
  <c r="B4532" i="1"/>
  <c r="C4532" i="1"/>
  <c r="D4532" i="1"/>
  <c r="A4533" i="1"/>
  <c r="B4533" i="1"/>
  <c r="C4533" i="1"/>
  <c r="D4533" i="1"/>
  <c r="A4534" i="1"/>
  <c r="B4534" i="1"/>
  <c r="C4534" i="1"/>
  <c r="D4534" i="1"/>
  <c r="A4535" i="1"/>
  <c r="B4535" i="1"/>
  <c r="C4535" i="1"/>
  <c r="D4535" i="1"/>
  <c r="A4536" i="1"/>
  <c r="B4536" i="1"/>
  <c r="C4536" i="1"/>
  <c r="D4536" i="1"/>
  <c r="A4537" i="1"/>
  <c r="B4537" i="1"/>
  <c r="C4537" i="1"/>
  <c r="D4537" i="1"/>
  <c r="A4538" i="1"/>
  <c r="B4538" i="1"/>
  <c r="C4538" i="1"/>
  <c r="D4538" i="1"/>
  <c r="A4539" i="1"/>
  <c r="B4539" i="1"/>
  <c r="C4539" i="1"/>
  <c r="D4539" i="1"/>
  <c r="A4540" i="1"/>
  <c r="B4540" i="1"/>
  <c r="C4540" i="1"/>
  <c r="D4540" i="1"/>
  <c r="A4541" i="1"/>
  <c r="B4541" i="1"/>
  <c r="C4541" i="1"/>
  <c r="D4541" i="1"/>
  <c r="A4542" i="1"/>
  <c r="B4542" i="1"/>
  <c r="C4542" i="1"/>
  <c r="D4542" i="1"/>
  <c r="A4543" i="1"/>
  <c r="B4543" i="1"/>
  <c r="C4543" i="1"/>
  <c r="D4543" i="1"/>
  <c r="A4544" i="1"/>
  <c r="B4544" i="1"/>
  <c r="C4544" i="1"/>
  <c r="D4544" i="1"/>
  <c r="A4545" i="1"/>
  <c r="B4545" i="1"/>
  <c r="C4545" i="1"/>
  <c r="D4545" i="1"/>
  <c r="A4546" i="1"/>
  <c r="B4546" i="1"/>
  <c r="C4546" i="1"/>
  <c r="D4546" i="1"/>
  <c r="A4547" i="1"/>
  <c r="B4547" i="1"/>
  <c r="C4547" i="1"/>
  <c r="D4547" i="1"/>
  <c r="A4548" i="1"/>
  <c r="B4548" i="1"/>
  <c r="C4548" i="1"/>
  <c r="D4548" i="1"/>
  <c r="A4549" i="1"/>
  <c r="B4549" i="1"/>
  <c r="C4549" i="1"/>
  <c r="D4549" i="1"/>
  <c r="A4550" i="1"/>
  <c r="B4550" i="1"/>
  <c r="C4550" i="1"/>
  <c r="D4550" i="1"/>
  <c r="A4551" i="1"/>
  <c r="B4551" i="1"/>
  <c r="C4551" i="1"/>
  <c r="D4551" i="1"/>
  <c r="A4552" i="1"/>
  <c r="B4552" i="1"/>
  <c r="C4552" i="1"/>
  <c r="D4552" i="1"/>
  <c r="A4553" i="1"/>
  <c r="B4553" i="1"/>
  <c r="C4553" i="1"/>
  <c r="D4553" i="1"/>
  <c r="A4554" i="1"/>
  <c r="B4554" i="1"/>
  <c r="C4554" i="1"/>
  <c r="D4554" i="1"/>
  <c r="A4555" i="1"/>
  <c r="B4555" i="1"/>
  <c r="C4555" i="1"/>
  <c r="D4555" i="1"/>
  <c r="A4556" i="1"/>
  <c r="B4556" i="1"/>
  <c r="C4556" i="1"/>
  <c r="D4556" i="1"/>
  <c r="A4557" i="1"/>
  <c r="B4557" i="1"/>
  <c r="C4557" i="1"/>
  <c r="D4557" i="1"/>
  <c r="A4558" i="1"/>
  <c r="B4558" i="1"/>
  <c r="C4558" i="1"/>
  <c r="D4558" i="1"/>
  <c r="A4559" i="1"/>
  <c r="B4559" i="1"/>
  <c r="C4559" i="1"/>
  <c r="D4559" i="1"/>
  <c r="A4560" i="1"/>
  <c r="B4560" i="1"/>
  <c r="C4560" i="1"/>
  <c r="D4560" i="1"/>
  <c r="A4561" i="1"/>
  <c r="B4561" i="1"/>
  <c r="C4561" i="1"/>
  <c r="D4561" i="1"/>
  <c r="A4562" i="1"/>
  <c r="B4562" i="1"/>
  <c r="C4562" i="1"/>
  <c r="D4562" i="1"/>
  <c r="A4563" i="1"/>
  <c r="B4563" i="1"/>
  <c r="C4563" i="1"/>
  <c r="D4563" i="1"/>
  <c r="A4564" i="1"/>
  <c r="B4564" i="1"/>
  <c r="C4564" i="1"/>
  <c r="D4564" i="1"/>
  <c r="A4565" i="1"/>
  <c r="B4565" i="1"/>
  <c r="C4565" i="1"/>
  <c r="D4565" i="1"/>
  <c r="A4566" i="1"/>
  <c r="B4566" i="1"/>
  <c r="C4566" i="1"/>
  <c r="D4566" i="1"/>
  <c r="A4567" i="1"/>
  <c r="B4567" i="1"/>
  <c r="C4567" i="1"/>
  <c r="D4567" i="1"/>
  <c r="A4568" i="1"/>
  <c r="B4568" i="1"/>
  <c r="C4568" i="1"/>
  <c r="D4568" i="1"/>
  <c r="A4569" i="1"/>
  <c r="B4569" i="1"/>
  <c r="C4569" i="1"/>
  <c r="D4569" i="1"/>
  <c r="A4570" i="1"/>
  <c r="B4570" i="1"/>
  <c r="C4570" i="1"/>
  <c r="D4570" i="1"/>
  <c r="A4571" i="1"/>
  <c r="B4571" i="1"/>
  <c r="C4571" i="1"/>
  <c r="D4571" i="1"/>
  <c r="A4572" i="1"/>
  <c r="B4572" i="1"/>
  <c r="C4572" i="1"/>
  <c r="D4572" i="1"/>
  <c r="A4573" i="1"/>
  <c r="B4573" i="1"/>
  <c r="C4573" i="1"/>
  <c r="D4573" i="1"/>
  <c r="A4574" i="1"/>
  <c r="B4574" i="1"/>
  <c r="C4574" i="1"/>
  <c r="D4574" i="1"/>
  <c r="A4575" i="1"/>
  <c r="B4575" i="1"/>
  <c r="C4575" i="1"/>
  <c r="D4575" i="1"/>
  <c r="A4576" i="1"/>
  <c r="B4576" i="1"/>
  <c r="C4576" i="1"/>
  <c r="D4576" i="1"/>
  <c r="A4577" i="1"/>
  <c r="B4577" i="1"/>
  <c r="C4577" i="1"/>
  <c r="D4577" i="1"/>
  <c r="A4578" i="1"/>
  <c r="B4578" i="1"/>
  <c r="C4578" i="1"/>
  <c r="D4578" i="1"/>
  <c r="A4579" i="1"/>
  <c r="B4579" i="1"/>
  <c r="C4579" i="1"/>
  <c r="D4579" i="1"/>
  <c r="A4580" i="1"/>
  <c r="B4580" i="1"/>
  <c r="C4580" i="1"/>
  <c r="D4580" i="1"/>
  <c r="A4581" i="1"/>
  <c r="B4581" i="1"/>
  <c r="C4581" i="1"/>
  <c r="D4581" i="1"/>
  <c r="A4582" i="1"/>
  <c r="B4582" i="1"/>
  <c r="C4582" i="1"/>
  <c r="D4582" i="1"/>
  <c r="A4583" i="1"/>
  <c r="B4583" i="1"/>
  <c r="C4583" i="1"/>
  <c r="D4583" i="1"/>
  <c r="A4584" i="1"/>
  <c r="B4584" i="1"/>
  <c r="C4584" i="1"/>
  <c r="D4584" i="1"/>
  <c r="A4585" i="1"/>
  <c r="B4585" i="1"/>
  <c r="C4585" i="1"/>
  <c r="D4585" i="1"/>
  <c r="A4586" i="1"/>
  <c r="B4586" i="1"/>
  <c r="C4586" i="1"/>
  <c r="D4586" i="1"/>
  <c r="A4587" i="1"/>
  <c r="B4587" i="1"/>
  <c r="C4587" i="1"/>
  <c r="D4587" i="1"/>
  <c r="A4588" i="1"/>
  <c r="B4588" i="1"/>
  <c r="C4588" i="1"/>
  <c r="D4588" i="1"/>
  <c r="A4589" i="1"/>
  <c r="B4589" i="1"/>
  <c r="C4589" i="1"/>
  <c r="D4589" i="1"/>
  <c r="A4590" i="1"/>
  <c r="B4590" i="1"/>
  <c r="C4590" i="1"/>
  <c r="D4590" i="1"/>
  <c r="A4591" i="1"/>
  <c r="B4591" i="1"/>
  <c r="C4591" i="1"/>
  <c r="D4591" i="1"/>
  <c r="A4592" i="1"/>
  <c r="B4592" i="1"/>
  <c r="C4592" i="1"/>
  <c r="D4592" i="1"/>
  <c r="A4593" i="1"/>
  <c r="B4593" i="1"/>
  <c r="C4593" i="1"/>
  <c r="D4593" i="1"/>
  <c r="A4594" i="1"/>
  <c r="B4594" i="1"/>
  <c r="C4594" i="1"/>
  <c r="D4594" i="1"/>
  <c r="A4595" i="1"/>
  <c r="B4595" i="1"/>
  <c r="C4595" i="1"/>
  <c r="D4595" i="1"/>
  <c r="A4596" i="1"/>
  <c r="B4596" i="1"/>
  <c r="C4596" i="1"/>
  <c r="D4596" i="1"/>
  <c r="A4597" i="1"/>
  <c r="B4597" i="1"/>
  <c r="C4597" i="1"/>
  <c r="D4597" i="1"/>
  <c r="A4598" i="1"/>
  <c r="B4598" i="1"/>
  <c r="C4598" i="1"/>
  <c r="D4598" i="1"/>
  <c r="A4599" i="1"/>
  <c r="B4599" i="1"/>
  <c r="C4599" i="1"/>
  <c r="D4599" i="1"/>
  <c r="A4600" i="1"/>
  <c r="B4600" i="1"/>
  <c r="C4600" i="1"/>
  <c r="D4600" i="1"/>
  <c r="A4601" i="1"/>
  <c r="B4601" i="1"/>
  <c r="C4601" i="1"/>
  <c r="D4601" i="1"/>
  <c r="A4602" i="1"/>
  <c r="B4602" i="1"/>
  <c r="C4602" i="1"/>
  <c r="D4602" i="1"/>
  <c r="A4603" i="1"/>
  <c r="B4603" i="1"/>
  <c r="C4603" i="1"/>
  <c r="D4603" i="1"/>
  <c r="A4604" i="1"/>
  <c r="B4604" i="1"/>
  <c r="C4604" i="1"/>
  <c r="D4604" i="1"/>
  <c r="A4605" i="1"/>
  <c r="B4605" i="1"/>
  <c r="C4605" i="1"/>
  <c r="D4605" i="1"/>
  <c r="A4606" i="1"/>
  <c r="B4606" i="1"/>
  <c r="C4606" i="1"/>
  <c r="D4606" i="1"/>
  <c r="A4607" i="1"/>
  <c r="B4607" i="1"/>
  <c r="C4607" i="1"/>
  <c r="D4607" i="1"/>
  <c r="A4608" i="1"/>
  <c r="B4608" i="1"/>
  <c r="C4608" i="1"/>
  <c r="D4608" i="1"/>
  <c r="A4609" i="1"/>
  <c r="B4609" i="1"/>
  <c r="C4609" i="1"/>
  <c r="D4609" i="1"/>
  <c r="A4610" i="1"/>
  <c r="B4610" i="1"/>
  <c r="C4610" i="1"/>
  <c r="D4610" i="1"/>
  <c r="A4611" i="1"/>
  <c r="B4611" i="1"/>
  <c r="C4611" i="1"/>
  <c r="D4611" i="1"/>
  <c r="A4612" i="1"/>
  <c r="B4612" i="1"/>
  <c r="C4612" i="1"/>
  <c r="D4612" i="1"/>
  <c r="A4613" i="1"/>
  <c r="B4613" i="1"/>
  <c r="C4613" i="1"/>
  <c r="D4613" i="1"/>
  <c r="A4614" i="1"/>
  <c r="B4614" i="1"/>
  <c r="C4614" i="1"/>
  <c r="D4614" i="1"/>
  <c r="A4615" i="1"/>
  <c r="B4615" i="1"/>
  <c r="C4615" i="1"/>
  <c r="D4615" i="1"/>
  <c r="A4616" i="1"/>
  <c r="B4616" i="1"/>
  <c r="C4616" i="1"/>
  <c r="D4616" i="1"/>
  <c r="A4617" i="1"/>
  <c r="B4617" i="1"/>
  <c r="C4617" i="1"/>
  <c r="D4617" i="1"/>
  <c r="A4618" i="1"/>
  <c r="B4618" i="1"/>
  <c r="C4618" i="1"/>
  <c r="D4618" i="1"/>
  <c r="A4619" i="1"/>
  <c r="B4619" i="1"/>
  <c r="C4619" i="1"/>
  <c r="D4619" i="1"/>
  <c r="A4620" i="1"/>
  <c r="B4620" i="1"/>
  <c r="C4620" i="1"/>
  <c r="D4620" i="1"/>
  <c r="A4621" i="1"/>
  <c r="B4621" i="1"/>
  <c r="C4621" i="1"/>
  <c r="D4621" i="1"/>
  <c r="A4622" i="1"/>
  <c r="B4622" i="1"/>
  <c r="C4622" i="1"/>
  <c r="D4622" i="1"/>
  <c r="A4623" i="1"/>
  <c r="B4623" i="1"/>
  <c r="C4623" i="1"/>
  <c r="D4623" i="1"/>
  <c r="A4624" i="1"/>
  <c r="B4624" i="1"/>
  <c r="C4624" i="1"/>
  <c r="D4624" i="1"/>
  <c r="A4625" i="1"/>
  <c r="B4625" i="1"/>
  <c r="C4625" i="1"/>
  <c r="D4625" i="1"/>
  <c r="A4626" i="1"/>
  <c r="B4626" i="1"/>
  <c r="C4626" i="1"/>
  <c r="D4626" i="1"/>
  <c r="A4627" i="1"/>
  <c r="B4627" i="1"/>
  <c r="C4627" i="1"/>
  <c r="D4627" i="1"/>
  <c r="A4628" i="1"/>
  <c r="B4628" i="1"/>
  <c r="C4628" i="1"/>
  <c r="D4628" i="1"/>
  <c r="A4629" i="1"/>
  <c r="B4629" i="1"/>
  <c r="C4629" i="1"/>
  <c r="D4629" i="1"/>
  <c r="A4630" i="1"/>
  <c r="B4630" i="1"/>
  <c r="C4630" i="1"/>
  <c r="D4630" i="1"/>
  <c r="A4631" i="1"/>
  <c r="B4631" i="1"/>
  <c r="C4631" i="1"/>
  <c r="D4631" i="1"/>
  <c r="A4632" i="1"/>
  <c r="B4632" i="1"/>
  <c r="C4632" i="1"/>
  <c r="D4632" i="1"/>
  <c r="A4633" i="1"/>
  <c r="B4633" i="1"/>
  <c r="C4633" i="1"/>
  <c r="D4633" i="1"/>
  <c r="A4634" i="1"/>
  <c r="B4634" i="1"/>
  <c r="C4634" i="1"/>
  <c r="D4634" i="1"/>
  <c r="A4635" i="1"/>
  <c r="B4635" i="1"/>
  <c r="C4635" i="1"/>
  <c r="D4635" i="1"/>
  <c r="A4636" i="1"/>
  <c r="B4636" i="1"/>
  <c r="C4636" i="1"/>
  <c r="D4636" i="1"/>
  <c r="A4637" i="1"/>
  <c r="B4637" i="1"/>
  <c r="C4637" i="1"/>
  <c r="D4637" i="1"/>
  <c r="A4638" i="1"/>
  <c r="B4638" i="1"/>
  <c r="C4638" i="1"/>
  <c r="D4638" i="1"/>
  <c r="A4639" i="1"/>
  <c r="B4639" i="1"/>
  <c r="C4639" i="1"/>
  <c r="D4639" i="1"/>
  <c r="A4640" i="1"/>
  <c r="B4640" i="1"/>
  <c r="C4640" i="1"/>
  <c r="D4640" i="1"/>
  <c r="A4641" i="1"/>
  <c r="B4641" i="1"/>
  <c r="C4641" i="1"/>
  <c r="D4641" i="1"/>
  <c r="A4642" i="1"/>
  <c r="B4642" i="1"/>
  <c r="C4642" i="1"/>
  <c r="D4642" i="1"/>
  <c r="A4643" i="1"/>
  <c r="B4643" i="1"/>
  <c r="C4643" i="1"/>
  <c r="D4643" i="1"/>
  <c r="A4644" i="1"/>
  <c r="B4644" i="1"/>
  <c r="C4644" i="1"/>
  <c r="D4644" i="1"/>
  <c r="A4645" i="1"/>
  <c r="B4645" i="1"/>
  <c r="C4645" i="1"/>
  <c r="D4645" i="1"/>
  <c r="A4646" i="1"/>
  <c r="B4646" i="1"/>
  <c r="C4646" i="1"/>
  <c r="D4646" i="1"/>
  <c r="A4647" i="1"/>
  <c r="B4647" i="1"/>
  <c r="C4647" i="1"/>
  <c r="D4647" i="1"/>
  <c r="A4648" i="1"/>
  <c r="B4648" i="1"/>
  <c r="C4648" i="1"/>
  <c r="D4648" i="1"/>
  <c r="A4649" i="1"/>
  <c r="B4649" i="1"/>
  <c r="C4649" i="1"/>
  <c r="D4649" i="1"/>
  <c r="A4650" i="1"/>
  <c r="B4650" i="1"/>
  <c r="C4650" i="1"/>
  <c r="D4650" i="1"/>
  <c r="A4651" i="1"/>
  <c r="B4651" i="1"/>
  <c r="C4651" i="1"/>
  <c r="D4651" i="1"/>
  <c r="A4652" i="1"/>
  <c r="B4652" i="1"/>
  <c r="C4652" i="1"/>
  <c r="D4652" i="1"/>
  <c r="A4653" i="1"/>
  <c r="B4653" i="1"/>
  <c r="C4653" i="1"/>
  <c r="D4653" i="1"/>
  <c r="A4654" i="1"/>
  <c r="B4654" i="1"/>
  <c r="C4654" i="1"/>
  <c r="D4654" i="1"/>
  <c r="A4655" i="1"/>
  <c r="B4655" i="1"/>
  <c r="C4655" i="1"/>
  <c r="D4655" i="1"/>
  <c r="A4656" i="1"/>
  <c r="B4656" i="1"/>
  <c r="C4656" i="1"/>
  <c r="D4656" i="1"/>
  <c r="A4657" i="1"/>
  <c r="B4657" i="1"/>
  <c r="C4657" i="1"/>
  <c r="D4657" i="1"/>
  <c r="A4658" i="1"/>
  <c r="B4658" i="1"/>
  <c r="C4658" i="1"/>
  <c r="D4658" i="1"/>
  <c r="A4659" i="1"/>
  <c r="B4659" i="1"/>
  <c r="C4659" i="1"/>
  <c r="D4659" i="1"/>
  <c r="A4660" i="1"/>
  <c r="B4660" i="1"/>
  <c r="C4660" i="1"/>
  <c r="D4660" i="1"/>
  <c r="A4661" i="1"/>
  <c r="B4661" i="1"/>
  <c r="C4661" i="1"/>
  <c r="D4661" i="1"/>
  <c r="A4662" i="1"/>
  <c r="B4662" i="1"/>
  <c r="C4662" i="1"/>
  <c r="D4662" i="1"/>
  <c r="A4663" i="1"/>
  <c r="B4663" i="1"/>
  <c r="C4663" i="1"/>
  <c r="D4663" i="1"/>
  <c r="A4664" i="1"/>
  <c r="B4664" i="1"/>
  <c r="C4664" i="1"/>
  <c r="D4664" i="1"/>
  <c r="A4665" i="1"/>
  <c r="B4665" i="1"/>
  <c r="C4665" i="1"/>
  <c r="D4665" i="1"/>
  <c r="A4666" i="1"/>
  <c r="B4666" i="1"/>
  <c r="C4666" i="1"/>
  <c r="D4666" i="1"/>
  <c r="A4667" i="1"/>
  <c r="B4667" i="1"/>
  <c r="C4667" i="1"/>
  <c r="D4667" i="1"/>
  <c r="A4668" i="1"/>
  <c r="B4668" i="1"/>
  <c r="C4668" i="1"/>
  <c r="D4668" i="1"/>
  <c r="A4669" i="1"/>
  <c r="B4669" i="1"/>
  <c r="C4669" i="1"/>
  <c r="D4669" i="1"/>
  <c r="A4670" i="1"/>
  <c r="B4670" i="1"/>
  <c r="C4670" i="1"/>
  <c r="D4670" i="1"/>
  <c r="A4671" i="1"/>
  <c r="B4671" i="1"/>
  <c r="C4671" i="1"/>
  <c r="D4671" i="1"/>
  <c r="A4672" i="1"/>
  <c r="B4672" i="1"/>
  <c r="C4672" i="1"/>
  <c r="D4672" i="1"/>
  <c r="A4673" i="1"/>
  <c r="B4673" i="1"/>
  <c r="C4673" i="1"/>
  <c r="D4673" i="1"/>
  <c r="A4674" i="1"/>
  <c r="B4674" i="1"/>
  <c r="C4674" i="1"/>
  <c r="D4674" i="1"/>
  <c r="A4675" i="1"/>
  <c r="B4675" i="1"/>
  <c r="C4675" i="1"/>
  <c r="D4675" i="1"/>
  <c r="A4676" i="1"/>
  <c r="B4676" i="1"/>
  <c r="C4676" i="1"/>
  <c r="D4676" i="1"/>
  <c r="A4677" i="1"/>
  <c r="B4677" i="1"/>
  <c r="C4677" i="1"/>
  <c r="D4677" i="1"/>
  <c r="A4678" i="1"/>
  <c r="B4678" i="1"/>
  <c r="C4678" i="1"/>
  <c r="D4678" i="1"/>
  <c r="A4679" i="1"/>
  <c r="B4679" i="1"/>
  <c r="C4679" i="1"/>
  <c r="D4679" i="1"/>
  <c r="A4680" i="1"/>
  <c r="B4680" i="1"/>
  <c r="C4680" i="1"/>
  <c r="D4680" i="1"/>
  <c r="A4681" i="1"/>
  <c r="B4681" i="1"/>
  <c r="C4681" i="1"/>
  <c r="D4681" i="1"/>
  <c r="A4682" i="1"/>
  <c r="B4682" i="1"/>
  <c r="C4682" i="1"/>
  <c r="D4682" i="1"/>
  <c r="A4683" i="1"/>
  <c r="B4683" i="1"/>
  <c r="C4683" i="1"/>
  <c r="D4683" i="1"/>
  <c r="A4684" i="1"/>
  <c r="B4684" i="1"/>
  <c r="C4684" i="1"/>
  <c r="D4684" i="1"/>
  <c r="A4685" i="1"/>
  <c r="B4685" i="1"/>
  <c r="C4685" i="1"/>
  <c r="D4685" i="1"/>
  <c r="A4686" i="1"/>
  <c r="B4686" i="1"/>
  <c r="C4686" i="1"/>
  <c r="D4686" i="1"/>
  <c r="A4687" i="1"/>
  <c r="B4687" i="1"/>
  <c r="C4687" i="1"/>
  <c r="D4687" i="1"/>
  <c r="A4688" i="1"/>
  <c r="B4688" i="1"/>
  <c r="C4688" i="1"/>
  <c r="D4688" i="1"/>
  <c r="A4689" i="1"/>
  <c r="B4689" i="1"/>
  <c r="C4689" i="1"/>
  <c r="D4689" i="1"/>
  <c r="A4690" i="1"/>
  <c r="B4690" i="1"/>
  <c r="C4690" i="1"/>
  <c r="D4690" i="1"/>
  <c r="A4691" i="1"/>
  <c r="B4691" i="1"/>
  <c r="C4691" i="1"/>
  <c r="D4691" i="1"/>
  <c r="A4692" i="1"/>
  <c r="B4692" i="1"/>
  <c r="C4692" i="1"/>
  <c r="D4692" i="1"/>
  <c r="A4693" i="1"/>
  <c r="B4693" i="1"/>
  <c r="C4693" i="1"/>
  <c r="D4693" i="1"/>
  <c r="A4694" i="1"/>
  <c r="B4694" i="1"/>
  <c r="C4694" i="1"/>
  <c r="D4694" i="1"/>
  <c r="A4695" i="1"/>
  <c r="B4695" i="1"/>
  <c r="C4695" i="1"/>
  <c r="D4695" i="1"/>
  <c r="A4696" i="1"/>
  <c r="B4696" i="1"/>
  <c r="C4696" i="1"/>
  <c r="D4696" i="1"/>
  <c r="A4697" i="1"/>
  <c r="B4697" i="1"/>
  <c r="C4697" i="1"/>
  <c r="D4697" i="1"/>
  <c r="A4698" i="1"/>
  <c r="B4698" i="1"/>
  <c r="C4698" i="1"/>
  <c r="D4698" i="1"/>
  <c r="A4699" i="1"/>
  <c r="B4699" i="1"/>
  <c r="C4699" i="1"/>
  <c r="D4699" i="1"/>
  <c r="A4700" i="1"/>
  <c r="B4700" i="1"/>
  <c r="C4700" i="1"/>
  <c r="D4700" i="1"/>
  <c r="A4701" i="1"/>
  <c r="B4701" i="1"/>
  <c r="C4701" i="1"/>
  <c r="D4701" i="1"/>
  <c r="A4702" i="1"/>
  <c r="B4702" i="1"/>
  <c r="C4702" i="1"/>
  <c r="D4702" i="1"/>
  <c r="A4703" i="1"/>
  <c r="B4703" i="1"/>
  <c r="C4703" i="1"/>
  <c r="D4703" i="1"/>
  <c r="A4704" i="1"/>
  <c r="B4704" i="1"/>
  <c r="C4704" i="1"/>
  <c r="D4704" i="1"/>
  <c r="A4705" i="1"/>
  <c r="B4705" i="1"/>
  <c r="C4705" i="1"/>
  <c r="D4705" i="1"/>
  <c r="A4706" i="1"/>
  <c r="B4706" i="1"/>
  <c r="C4706" i="1"/>
  <c r="D4706" i="1"/>
  <c r="A4707" i="1"/>
  <c r="B4707" i="1"/>
  <c r="C4707" i="1"/>
  <c r="D4707" i="1"/>
  <c r="A4708" i="1"/>
  <c r="B4708" i="1"/>
  <c r="C4708" i="1"/>
  <c r="D4708" i="1"/>
  <c r="A4709" i="1"/>
  <c r="B4709" i="1"/>
  <c r="C4709" i="1"/>
  <c r="D4709" i="1"/>
  <c r="A4710" i="1"/>
  <c r="B4710" i="1"/>
  <c r="C4710" i="1"/>
  <c r="D4710" i="1"/>
  <c r="A4711" i="1"/>
  <c r="B4711" i="1"/>
  <c r="C4711" i="1"/>
  <c r="D4711" i="1"/>
  <c r="A4712" i="1"/>
  <c r="B4712" i="1"/>
  <c r="C4712" i="1"/>
  <c r="D4712" i="1"/>
  <c r="A4713" i="1"/>
  <c r="B4713" i="1"/>
  <c r="C4713" i="1"/>
  <c r="D4713" i="1"/>
  <c r="A4714" i="1"/>
  <c r="B4714" i="1"/>
  <c r="C4714" i="1"/>
  <c r="D4714" i="1"/>
  <c r="A4715" i="1"/>
  <c r="B4715" i="1"/>
  <c r="C4715" i="1"/>
  <c r="D4715" i="1"/>
  <c r="A4716" i="1"/>
  <c r="B4716" i="1"/>
  <c r="C4716" i="1"/>
  <c r="D4716" i="1"/>
  <c r="A4717" i="1"/>
  <c r="B4717" i="1"/>
  <c r="C4717" i="1"/>
  <c r="D4717" i="1"/>
  <c r="A4718" i="1"/>
  <c r="B4718" i="1"/>
  <c r="C4718" i="1"/>
  <c r="D4718" i="1"/>
  <c r="A4719" i="1"/>
  <c r="B4719" i="1"/>
  <c r="C4719" i="1"/>
  <c r="D4719" i="1"/>
  <c r="A4720" i="1"/>
  <c r="B4720" i="1"/>
  <c r="C4720" i="1"/>
  <c r="D4720" i="1"/>
  <c r="A4721" i="1"/>
  <c r="B4721" i="1"/>
  <c r="C4721" i="1"/>
  <c r="D4721" i="1"/>
  <c r="A4722" i="1"/>
  <c r="B4722" i="1"/>
  <c r="C4722" i="1"/>
  <c r="D4722" i="1"/>
  <c r="A4723" i="1"/>
  <c r="B4723" i="1"/>
  <c r="C4723" i="1"/>
  <c r="D4723" i="1"/>
  <c r="A4724" i="1"/>
  <c r="B4724" i="1"/>
  <c r="C4724" i="1"/>
  <c r="D4724" i="1"/>
  <c r="A4725" i="1"/>
  <c r="B4725" i="1"/>
  <c r="C4725" i="1"/>
  <c r="D4725" i="1"/>
  <c r="A4726" i="1"/>
  <c r="B4726" i="1"/>
  <c r="C4726" i="1"/>
  <c r="D4726" i="1"/>
  <c r="A4727" i="1"/>
  <c r="B4727" i="1"/>
  <c r="C4727" i="1"/>
  <c r="D4727" i="1"/>
  <c r="A4728" i="1"/>
  <c r="B4728" i="1"/>
  <c r="C4728" i="1"/>
  <c r="D4728" i="1"/>
  <c r="A4729" i="1"/>
  <c r="B4729" i="1"/>
  <c r="C4729" i="1"/>
  <c r="D4729" i="1"/>
  <c r="A4730" i="1"/>
  <c r="B4730" i="1"/>
  <c r="C4730" i="1"/>
  <c r="D4730" i="1"/>
  <c r="A4731" i="1"/>
  <c r="B4731" i="1"/>
  <c r="C4731" i="1"/>
  <c r="D4731" i="1"/>
  <c r="A4732" i="1"/>
  <c r="B4732" i="1"/>
  <c r="C4732" i="1"/>
  <c r="D4732" i="1"/>
  <c r="A4733" i="1"/>
  <c r="B4733" i="1"/>
  <c r="C4733" i="1"/>
  <c r="D4733" i="1"/>
  <c r="A4734" i="1"/>
  <c r="B4734" i="1"/>
  <c r="C4734" i="1"/>
  <c r="D4734" i="1"/>
  <c r="A4735" i="1"/>
  <c r="B4735" i="1"/>
  <c r="C4735" i="1"/>
  <c r="D4735" i="1"/>
  <c r="A4736" i="1"/>
  <c r="B4736" i="1"/>
  <c r="C4736" i="1"/>
  <c r="D4736" i="1"/>
  <c r="A4737" i="1"/>
  <c r="B4737" i="1"/>
  <c r="C4737" i="1"/>
  <c r="D4737" i="1"/>
  <c r="A4738" i="1"/>
  <c r="B4738" i="1"/>
  <c r="C4738" i="1"/>
  <c r="D4738" i="1"/>
  <c r="A4739" i="1"/>
  <c r="B4739" i="1"/>
  <c r="C4739" i="1"/>
  <c r="D4739" i="1"/>
  <c r="A4740" i="1"/>
  <c r="B4740" i="1"/>
  <c r="C4740" i="1"/>
  <c r="D4740" i="1"/>
  <c r="A4741" i="1"/>
  <c r="B4741" i="1"/>
  <c r="C4741" i="1"/>
  <c r="D4741" i="1"/>
  <c r="A4742" i="1"/>
  <c r="B4742" i="1"/>
  <c r="C4742" i="1"/>
  <c r="D4742" i="1"/>
  <c r="A4743" i="1"/>
  <c r="B4743" i="1"/>
  <c r="C4743" i="1"/>
  <c r="D4743" i="1"/>
  <c r="A4744" i="1"/>
  <c r="B4744" i="1"/>
  <c r="C4744" i="1"/>
  <c r="D4744" i="1"/>
  <c r="A4745" i="1"/>
  <c r="B4745" i="1"/>
  <c r="C4745" i="1"/>
  <c r="D4745" i="1"/>
  <c r="A4746" i="1"/>
  <c r="B4746" i="1"/>
  <c r="C4746" i="1"/>
  <c r="D4746" i="1"/>
  <c r="A4747" i="1"/>
  <c r="B4747" i="1"/>
  <c r="C4747" i="1"/>
  <c r="D4747" i="1"/>
  <c r="A4748" i="1"/>
  <c r="B4748" i="1"/>
  <c r="C4748" i="1"/>
  <c r="D4748" i="1"/>
  <c r="A4749" i="1"/>
  <c r="B4749" i="1"/>
  <c r="C4749" i="1"/>
  <c r="D4749" i="1"/>
  <c r="A4750" i="1"/>
  <c r="B4750" i="1"/>
  <c r="C4750" i="1"/>
  <c r="D4750" i="1"/>
  <c r="A4751" i="1"/>
  <c r="B4751" i="1"/>
  <c r="C4751" i="1"/>
  <c r="D4751" i="1"/>
  <c r="A4752" i="1"/>
  <c r="B4752" i="1"/>
  <c r="C4752" i="1"/>
  <c r="D4752" i="1"/>
  <c r="A4753" i="1"/>
  <c r="B4753" i="1"/>
  <c r="C4753" i="1"/>
  <c r="D4753" i="1"/>
  <c r="A4754" i="1"/>
  <c r="B4754" i="1"/>
  <c r="C4754" i="1"/>
  <c r="D4754" i="1"/>
  <c r="A4755" i="1"/>
  <c r="B4755" i="1"/>
  <c r="C4755" i="1"/>
  <c r="D4755" i="1"/>
  <c r="A4756" i="1"/>
  <c r="B4756" i="1"/>
  <c r="C4756" i="1"/>
  <c r="D4756" i="1"/>
  <c r="A4757" i="1"/>
  <c r="B4757" i="1"/>
  <c r="C4757" i="1"/>
  <c r="D4757" i="1"/>
  <c r="A4758" i="1"/>
  <c r="B4758" i="1"/>
  <c r="C4758" i="1"/>
  <c r="D4758" i="1"/>
  <c r="A4759" i="1"/>
  <c r="B4759" i="1"/>
  <c r="C4759" i="1"/>
  <c r="D4759" i="1"/>
  <c r="A4760" i="1"/>
  <c r="B4760" i="1"/>
  <c r="C4760" i="1"/>
  <c r="D4760" i="1"/>
  <c r="A4761" i="1"/>
  <c r="B4761" i="1"/>
  <c r="C4761" i="1"/>
  <c r="D4761" i="1"/>
  <c r="A4762" i="1"/>
  <c r="B4762" i="1"/>
  <c r="C4762" i="1"/>
  <c r="D4762" i="1"/>
  <c r="A4763" i="1"/>
  <c r="B4763" i="1"/>
  <c r="C4763" i="1"/>
  <c r="D4763" i="1"/>
  <c r="A4764" i="1"/>
  <c r="B4764" i="1"/>
  <c r="C4764" i="1"/>
  <c r="D4764" i="1"/>
  <c r="A4765" i="1"/>
  <c r="B4765" i="1"/>
  <c r="C4765" i="1"/>
  <c r="D4765" i="1"/>
  <c r="A4766" i="1"/>
  <c r="B4766" i="1"/>
  <c r="C4766" i="1"/>
  <c r="D4766" i="1"/>
  <c r="A4767" i="1"/>
  <c r="B4767" i="1"/>
  <c r="C4767" i="1"/>
  <c r="D4767" i="1"/>
  <c r="A4768" i="1"/>
  <c r="B4768" i="1"/>
  <c r="C4768" i="1"/>
  <c r="D4768" i="1"/>
  <c r="A4769" i="1"/>
  <c r="B4769" i="1"/>
  <c r="C4769" i="1"/>
  <c r="D4769" i="1"/>
  <c r="A4770" i="1"/>
  <c r="B4770" i="1"/>
  <c r="C4770" i="1"/>
  <c r="D4770" i="1"/>
  <c r="A4771" i="1"/>
  <c r="B4771" i="1"/>
  <c r="C4771" i="1"/>
  <c r="D4771" i="1"/>
  <c r="A4772" i="1"/>
  <c r="B4772" i="1"/>
  <c r="C4772" i="1"/>
  <c r="D4772" i="1"/>
  <c r="A4773" i="1"/>
  <c r="B4773" i="1"/>
  <c r="C4773" i="1"/>
  <c r="D4773" i="1"/>
  <c r="A4774" i="1"/>
  <c r="B4774" i="1"/>
  <c r="C4774" i="1"/>
  <c r="D4774" i="1"/>
  <c r="A4775" i="1"/>
  <c r="B4775" i="1"/>
  <c r="C4775" i="1"/>
  <c r="D4775" i="1"/>
  <c r="A4776" i="1"/>
  <c r="B4776" i="1"/>
  <c r="C4776" i="1"/>
  <c r="D4776" i="1"/>
  <c r="A4777" i="1"/>
  <c r="B4777" i="1"/>
  <c r="C4777" i="1"/>
  <c r="D4777" i="1"/>
  <c r="A4778" i="1"/>
  <c r="B4778" i="1"/>
  <c r="C4778" i="1"/>
  <c r="D4778" i="1"/>
  <c r="A4779" i="1"/>
  <c r="B4779" i="1"/>
  <c r="C4779" i="1"/>
  <c r="D4779" i="1"/>
  <c r="A4780" i="1"/>
  <c r="B4780" i="1"/>
  <c r="C4780" i="1"/>
  <c r="D4780" i="1"/>
  <c r="A4781" i="1"/>
  <c r="B4781" i="1"/>
  <c r="C4781" i="1"/>
  <c r="D4781" i="1"/>
  <c r="A4782" i="1"/>
  <c r="B4782" i="1"/>
  <c r="C4782" i="1"/>
  <c r="D4782" i="1"/>
  <c r="A4783" i="1"/>
  <c r="B4783" i="1"/>
  <c r="C4783" i="1"/>
  <c r="D4783" i="1"/>
  <c r="A4784" i="1"/>
  <c r="B4784" i="1"/>
  <c r="C4784" i="1"/>
  <c r="D4784" i="1"/>
  <c r="A4785" i="1"/>
  <c r="B4785" i="1"/>
  <c r="C4785" i="1"/>
  <c r="D4785" i="1"/>
  <c r="A4786" i="1"/>
  <c r="B4786" i="1"/>
  <c r="C4786" i="1"/>
  <c r="D4786" i="1"/>
  <c r="A4787" i="1"/>
  <c r="B4787" i="1"/>
  <c r="C4787" i="1"/>
  <c r="D4787" i="1"/>
  <c r="A4788" i="1"/>
  <c r="B4788" i="1"/>
  <c r="C4788" i="1"/>
  <c r="D4788" i="1"/>
  <c r="A4789" i="1"/>
  <c r="B4789" i="1"/>
  <c r="C4789" i="1"/>
  <c r="D4789" i="1"/>
  <c r="A4790" i="1"/>
  <c r="B4790" i="1"/>
  <c r="C4790" i="1"/>
  <c r="D4790" i="1"/>
  <c r="A4791" i="1"/>
  <c r="B4791" i="1"/>
  <c r="C4791" i="1"/>
  <c r="D4791" i="1"/>
  <c r="A4792" i="1"/>
  <c r="B4792" i="1"/>
  <c r="C4792" i="1"/>
  <c r="D4792" i="1"/>
  <c r="A4793" i="1"/>
  <c r="B4793" i="1"/>
  <c r="C4793" i="1"/>
  <c r="D4793" i="1"/>
  <c r="A4794" i="1"/>
  <c r="B4794" i="1"/>
  <c r="C4794" i="1"/>
  <c r="D4794" i="1"/>
  <c r="A4795" i="1"/>
  <c r="B4795" i="1"/>
  <c r="C4795" i="1"/>
  <c r="D4795" i="1"/>
  <c r="A4796" i="1"/>
  <c r="B4796" i="1"/>
  <c r="C4796" i="1"/>
  <c r="D4796" i="1"/>
  <c r="A4797" i="1"/>
  <c r="B4797" i="1"/>
  <c r="C4797" i="1"/>
  <c r="D4797" i="1"/>
  <c r="A4798" i="1"/>
  <c r="B4798" i="1"/>
  <c r="C4798" i="1"/>
  <c r="D4798" i="1"/>
  <c r="A4799" i="1"/>
  <c r="B4799" i="1"/>
  <c r="C4799" i="1"/>
  <c r="D4799" i="1"/>
  <c r="A4800" i="1"/>
  <c r="B4800" i="1"/>
  <c r="C4800" i="1"/>
  <c r="D4800" i="1"/>
  <c r="A4801" i="1"/>
  <c r="B4801" i="1"/>
  <c r="C4801" i="1"/>
  <c r="D4801" i="1"/>
  <c r="A4802" i="1"/>
  <c r="B4802" i="1"/>
  <c r="C4802" i="1"/>
  <c r="D4802" i="1"/>
  <c r="A4803" i="1"/>
  <c r="B4803" i="1"/>
  <c r="C4803" i="1"/>
  <c r="D4803" i="1"/>
  <c r="A4804" i="1"/>
  <c r="B4804" i="1"/>
  <c r="C4804" i="1"/>
  <c r="D4804" i="1"/>
  <c r="A4805" i="1"/>
  <c r="B4805" i="1"/>
  <c r="C4805" i="1"/>
  <c r="D4805" i="1"/>
  <c r="A4806" i="1"/>
  <c r="B4806" i="1"/>
  <c r="C4806" i="1"/>
  <c r="D4806" i="1"/>
  <c r="A4807" i="1"/>
  <c r="B4807" i="1"/>
  <c r="C4807" i="1"/>
  <c r="D4807" i="1"/>
  <c r="A4808" i="1"/>
  <c r="B4808" i="1"/>
  <c r="C4808" i="1"/>
  <c r="D4808" i="1"/>
  <c r="A4809" i="1"/>
  <c r="B4809" i="1"/>
  <c r="C4809" i="1"/>
  <c r="D4809" i="1"/>
  <c r="A4810" i="1"/>
  <c r="B4810" i="1"/>
  <c r="C4810" i="1"/>
  <c r="D4810" i="1"/>
  <c r="A4811" i="1"/>
  <c r="B4811" i="1"/>
  <c r="C4811" i="1"/>
  <c r="D4811" i="1"/>
  <c r="A4812" i="1"/>
  <c r="B4812" i="1"/>
  <c r="C4812" i="1"/>
  <c r="D4812" i="1"/>
  <c r="A4813" i="1"/>
  <c r="B4813" i="1"/>
  <c r="C4813" i="1"/>
  <c r="D4813" i="1"/>
  <c r="A4814" i="1"/>
  <c r="B4814" i="1"/>
  <c r="C4814" i="1"/>
  <c r="D4814" i="1"/>
  <c r="A4815" i="1"/>
  <c r="B4815" i="1"/>
  <c r="C4815" i="1"/>
  <c r="D4815" i="1"/>
  <c r="A4816" i="1"/>
  <c r="B4816" i="1"/>
  <c r="C4816" i="1"/>
  <c r="D4816" i="1"/>
  <c r="A4817" i="1"/>
  <c r="B4817" i="1"/>
  <c r="C4817" i="1"/>
  <c r="D4817" i="1"/>
  <c r="A4818" i="1"/>
  <c r="B4818" i="1"/>
  <c r="C4818" i="1"/>
  <c r="D4818" i="1"/>
  <c r="A4819" i="1"/>
  <c r="B4819" i="1"/>
  <c r="C4819" i="1"/>
  <c r="D4819" i="1"/>
  <c r="A4820" i="1"/>
  <c r="B4820" i="1"/>
  <c r="C4820" i="1"/>
  <c r="D4820" i="1"/>
  <c r="A4821" i="1"/>
  <c r="B4821" i="1"/>
  <c r="C4821" i="1"/>
  <c r="D4821" i="1"/>
  <c r="A4822" i="1"/>
  <c r="B4822" i="1"/>
  <c r="C4822" i="1"/>
  <c r="D4822" i="1"/>
  <c r="A4823" i="1"/>
  <c r="B4823" i="1"/>
  <c r="C4823" i="1"/>
  <c r="D4823" i="1"/>
  <c r="A4824" i="1"/>
  <c r="B4824" i="1"/>
  <c r="C4824" i="1"/>
  <c r="D4824" i="1"/>
  <c r="A4825" i="1"/>
  <c r="B4825" i="1"/>
  <c r="C4825" i="1"/>
  <c r="D4825" i="1"/>
  <c r="A4826" i="1"/>
  <c r="B4826" i="1"/>
  <c r="C4826" i="1"/>
  <c r="D4826" i="1"/>
  <c r="A4827" i="1"/>
  <c r="B4827" i="1"/>
  <c r="C4827" i="1"/>
  <c r="D4827" i="1"/>
  <c r="A4828" i="1"/>
  <c r="B4828" i="1"/>
  <c r="C4828" i="1"/>
  <c r="D4828" i="1"/>
  <c r="A4829" i="1"/>
  <c r="B4829" i="1"/>
  <c r="C4829" i="1"/>
  <c r="D4829" i="1"/>
  <c r="A4830" i="1"/>
  <c r="B4830" i="1"/>
  <c r="C4830" i="1"/>
  <c r="D4830" i="1"/>
  <c r="A4831" i="1"/>
  <c r="B4831" i="1"/>
  <c r="C4831" i="1"/>
  <c r="D4831" i="1"/>
  <c r="A4832" i="1"/>
  <c r="B4832" i="1"/>
  <c r="C4832" i="1"/>
  <c r="D4832" i="1"/>
  <c r="A4833" i="1"/>
  <c r="B4833" i="1"/>
  <c r="C4833" i="1"/>
  <c r="D4833" i="1"/>
  <c r="A4834" i="1"/>
  <c r="B4834" i="1"/>
  <c r="C4834" i="1"/>
  <c r="D4834" i="1"/>
  <c r="A4835" i="1"/>
  <c r="B4835" i="1"/>
  <c r="C4835" i="1"/>
  <c r="D4835" i="1"/>
  <c r="A4836" i="1"/>
  <c r="B4836" i="1"/>
  <c r="C4836" i="1"/>
  <c r="D4836" i="1"/>
  <c r="A4837" i="1"/>
  <c r="B4837" i="1"/>
  <c r="C4837" i="1"/>
  <c r="D4837" i="1"/>
  <c r="A4838" i="1"/>
  <c r="B4838" i="1"/>
  <c r="C4838" i="1"/>
  <c r="D4838" i="1"/>
  <c r="A4839" i="1"/>
  <c r="B4839" i="1"/>
  <c r="C4839" i="1"/>
  <c r="D4839" i="1"/>
  <c r="A4840" i="1"/>
  <c r="B4840" i="1"/>
  <c r="C4840" i="1"/>
  <c r="D4840" i="1"/>
  <c r="A4841" i="1"/>
  <c r="B4841" i="1"/>
  <c r="C4841" i="1"/>
  <c r="D4841" i="1"/>
  <c r="A4842" i="1"/>
  <c r="B4842" i="1"/>
  <c r="C4842" i="1"/>
  <c r="D4842" i="1"/>
  <c r="A4843" i="1"/>
  <c r="B4843" i="1"/>
  <c r="C4843" i="1"/>
  <c r="D4843" i="1"/>
  <c r="A4844" i="1"/>
  <c r="B4844" i="1"/>
  <c r="C4844" i="1"/>
  <c r="D4844" i="1"/>
  <c r="A4845" i="1"/>
  <c r="B4845" i="1"/>
  <c r="C4845" i="1"/>
  <c r="D4845" i="1"/>
  <c r="A4846" i="1"/>
  <c r="B4846" i="1"/>
  <c r="C4846" i="1"/>
  <c r="D4846" i="1"/>
  <c r="A4847" i="1"/>
  <c r="B4847" i="1"/>
  <c r="C4847" i="1"/>
  <c r="D4847" i="1"/>
  <c r="A4848" i="1"/>
  <c r="B4848" i="1"/>
  <c r="C4848" i="1"/>
  <c r="D4848" i="1"/>
  <c r="A4849" i="1"/>
  <c r="B4849" i="1"/>
  <c r="C4849" i="1"/>
  <c r="D4849" i="1"/>
  <c r="A4850" i="1"/>
  <c r="B4850" i="1"/>
  <c r="C4850" i="1"/>
  <c r="D4850" i="1"/>
  <c r="A4851" i="1"/>
  <c r="B4851" i="1"/>
  <c r="C4851" i="1"/>
  <c r="D4851" i="1"/>
  <c r="A4852" i="1"/>
  <c r="B4852" i="1"/>
  <c r="C4852" i="1"/>
  <c r="D4852" i="1"/>
  <c r="A4853" i="1"/>
  <c r="B4853" i="1"/>
  <c r="C4853" i="1"/>
  <c r="D4853" i="1"/>
  <c r="A4854" i="1"/>
  <c r="B4854" i="1"/>
  <c r="C4854" i="1"/>
  <c r="D4854" i="1"/>
  <c r="A4855" i="1"/>
  <c r="B4855" i="1"/>
  <c r="C4855" i="1"/>
  <c r="D4855" i="1"/>
  <c r="A4856" i="1"/>
  <c r="B4856" i="1"/>
  <c r="C4856" i="1"/>
  <c r="D4856" i="1"/>
  <c r="A4857" i="1"/>
  <c r="B4857" i="1"/>
  <c r="C4857" i="1"/>
  <c r="D4857" i="1"/>
  <c r="A4858" i="1"/>
  <c r="B4858" i="1"/>
  <c r="C4858" i="1"/>
  <c r="D4858" i="1"/>
  <c r="A4859" i="1"/>
  <c r="B4859" i="1"/>
  <c r="C4859" i="1"/>
  <c r="D4859" i="1"/>
  <c r="A4860" i="1"/>
  <c r="B4860" i="1"/>
  <c r="C4860" i="1"/>
  <c r="D4860" i="1"/>
  <c r="A4861" i="1"/>
  <c r="B4861" i="1"/>
  <c r="C4861" i="1"/>
  <c r="D4861" i="1"/>
  <c r="A4862" i="1"/>
  <c r="B4862" i="1"/>
  <c r="C4862" i="1"/>
  <c r="D4862" i="1"/>
  <c r="A4863" i="1"/>
  <c r="B4863" i="1"/>
  <c r="C4863" i="1"/>
  <c r="D4863" i="1"/>
  <c r="A4864" i="1"/>
  <c r="B4864" i="1"/>
  <c r="C4864" i="1"/>
  <c r="D4864" i="1"/>
  <c r="A4865" i="1"/>
  <c r="B4865" i="1"/>
  <c r="C4865" i="1"/>
  <c r="D4865" i="1"/>
  <c r="A4866" i="1"/>
  <c r="B4866" i="1"/>
  <c r="C4866" i="1"/>
  <c r="D4866" i="1"/>
  <c r="A4867" i="1"/>
  <c r="B4867" i="1"/>
  <c r="C4867" i="1"/>
  <c r="D4867" i="1"/>
  <c r="A4868" i="1"/>
  <c r="B4868" i="1"/>
  <c r="C4868" i="1"/>
  <c r="D4868" i="1"/>
  <c r="A4869" i="1"/>
  <c r="B4869" i="1"/>
  <c r="C4869" i="1"/>
  <c r="D4869" i="1"/>
  <c r="A4870" i="1"/>
  <c r="B4870" i="1"/>
  <c r="C4870" i="1"/>
  <c r="D4870" i="1"/>
  <c r="A4871" i="1"/>
  <c r="B4871" i="1"/>
  <c r="C4871" i="1"/>
  <c r="D4871" i="1"/>
  <c r="A4872" i="1"/>
  <c r="B4872" i="1"/>
  <c r="C4872" i="1"/>
  <c r="D4872" i="1"/>
  <c r="A4873" i="1"/>
  <c r="B4873" i="1"/>
  <c r="C4873" i="1"/>
  <c r="D4873" i="1"/>
  <c r="A4874" i="1"/>
  <c r="B4874" i="1"/>
  <c r="C4874" i="1"/>
  <c r="D4874" i="1"/>
  <c r="A4875" i="1"/>
  <c r="B4875" i="1"/>
  <c r="C4875" i="1"/>
  <c r="D4875" i="1"/>
  <c r="A4876" i="1"/>
  <c r="B4876" i="1"/>
  <c r="C4876" i="1"/>
  <c r="D4876" i="1"/>
  <c r="A4877" i="1"/>
  <c r="B4877" i="1"/>
  <c r="C4877" i="1"/>
  <c r="D4877" i="1"/>
  <c r="A4878" i="1"/>
  <c r="B4878" i="1"/>
  <c r="C4878" i="1"/>
  <c r="D4878" i="1"/>
  <c r="A4879" i="1"/>
  <c r="B4879" i="1"/>
  <c r="C4879" i="1"/>
  <c r="D4879" i="1"/>
  <c r="A4880" i="1"/>
  <c r="B4880" i="1"/>
  <c r="C4880" i="1"/>
  <c r="D4880" i="1"/>
  <c r="A4881" i="1"/>
  <c r="B4881" i="1"/>
  <c r="C4881" i="1"/>
  <c r="D4881" i="1"/>
  <c r="A4882" i="1"/>
  <c r="B4882" i="1"/>
  <c r="C4882" i="1"/>
  <c r="D4882" i="1"/>
  <c r="A4883" i="1"/>
  <c r="B4883" i="1"/>
  <c r="C4883" i="1"/>
  <c r="D4883" i="1"/>
  <c r="A4884" i="1"/>
  <c r="B4884" i="1"/>
  <c r="C4884" i="1"/>
  <c r="D4884" i="1"/>
  <c r="A4885" i="1"/>
  <c r="B4885" i="1"/>
  <c r="C4885" i="1"/>
  <c r="D4885" i="1"/>
  <c r="A4886" i="1"/>
  <c r="B4886" i="1"/>
  <c r="C4886" i="1"/>
  <c r="D4886" i="1"/>
  <c r="A4887" i="1"/>
  <c r="B4887" i="1"/>
  <c r="C4887" i="1"/>
  <c r="D4887" i="1"/>
  <c r="A4888" i="1"/>
  <c r="B4888" i="1"/>
  <c r="C4888" i="1"/>
  <c r="D4888" i="1"/>
  <c r="A4889" i="1"/>
  <c r="B4889" i="1"/>
  <c r="C4889" i="1"/>
  <c r="D4889" i="1"/>
  <c r="A4890" i="1"/>
  <c r="B4890" i="1"/>
  <c r="C4890" i="1"/>
  <c r="D4890" i="1"/>
  <c r="A4891" i="1"/>
  <c r="B4891" i="1"/>
  <c r="C4891" i="1"/>
  <c r="D4891" i="1"/>
  <c r="A4892" i="1"/>
  <c r="B4892" i="1"/>
  <c r="C4892" i="1"/>
  <c r="D4892" i="1"/>
  <c r="A4893" i="1"/>
  <c r="B4893" i="1"/>
  <c r="C4893" i="1"/>
  <c r="D4893" i="1"/>
  <c r="A4894" i="1"/>
  <c r="B4894" i="1"/>
  <c r="C4894" i="1"/>
  <c r="D4894" i="1"/>
  <c r="A4895" i="1"/>
  <c r="B4895" i="1"/>
  <c r="C4895" i="1"/>
  <c r="D4895" i="1"/>
  <c r="A4896" i="1"/>
  <c r="B4896" i="1"/>
  <c r="C4896" i="1"/>
  <c r="D4896" i="1"/>
  <c r="A4897" i="1"/>
  <c r="B4897" i="1"/>
  <c r="C4897" i="1"/>
  <c r="D4897" i="1"/>
  <c r="A4898" i="1"/>
  <c r="B4898" i="1"/>
  <c r="C4898" i="1"/>
  <c r="D4898" i="1"/>
  <c r="A4899" i="1"/>
  <c r="B4899" i="1"/>
  <c r="C4899" i="1"/>
  <c r="D4899" i="1"/>
  <c r="A4900" i="1"/>
  <c r="B4900" i="1"/>
  <c r="C4900" i="1"/>
  <c r="D4900" i="1"/>
  <c r="A4901" i="1"/>
  <c r="B4901" i="1"/>
  <c r="C4901" i="1"/>
  <c r="D4901" i="1"/>
  <c r="A4902" i="1"/>
  <c r="B4902" i="1"/>
  <c r="C4902" i="1"/>
  <c r="D4902" i="1"/>
  <c r="A4903" i="1"/>
  <c r="B4903" i="1"/>
  <c r="C4903" i="1"/>
  <c r="D4903" i="1"/>
  <c r="A4904" i="1"/>
  <c r="B4904" i="1"/>
  <c r="C4904" i="1"/>
  <c r="D4904" i="1"/>
  <c r="A4905" i="1"/>
  <c r="B4905" i="1"/>
  <c r="C4905" i="1"/>
  <c r="D4905" i="1"/>
  <c r="A4906" i="1"/>
  <c r="B4906" i="1"/>
  <c r="C4906" i="1"/>
  <c r="D4906" i="1"/>
  <c r="A4907" i="1"/>
  <c r="B4907" i="1"/>
  <c r="C4907" i="1"/>
  <c r="D4907" i="1"/>
  <c r="A4908" i="1"/>
  <c r="B4908" i="1"/>
  <c r="C4908" i="1"/>
  <c r="D4908" i="1"/>
  <c r="A4909" i="1"/>
  <c r="B4909" i="1"/>
  <c r="C4909" i="1"/>
  <c r="D4909" i="1"/>
  <c r="A4910" i="1"/>
  <c r="B4910" i="1"/>
  <c r="C4910" i="1"/>
  <c r="D4910" i="1"/>
  <c r="A4911" i="1"/>
  <c r="B4911" i="1"/>
  <c r="C4911" i="1"/>
  <c r="D4911" i="1"/>
  <c r="A4912" i="1"/>
  <c r="B4912" i="1"/>
  <c r="C4912" i="1"/>
  <c r="D4912" i="1"/>
  <c r="A4913" i="1"/>
  <c r="B4913" i="1"/>
  <c r="C4913" i="1"/>
  <c r="D4913" i="1"/>
  <c r="A4914" i="1"/>
  <c r="B4914" i="1"/>
  <c r="C4914" i="1"/>
  <c r="D4914" i="1"/>
  <c r="A4915" i="1"/>
  <c r="B4915" i="1"/>
  <c r="C4915" i="1"/>
  <c r="D4915" i="1"/>
  <c r="A4916" i="1"/>
  <c r="B4916" i="1"/>
  <c r="C4916" i="1"/>
  <c r="D4916" i="1"/>
  <c r="A4917" i="1"/>
  <c r="B4917" i="1"/>
  <c r="C4917" i="1"/>
  <c r="D4917" i="1"/>
  <c r="A4918" i="1"/>
  <c r="B4918" i="1"/>
  <c r="C4918" i="1"/>
  <c r="D4918" i="1"/>
  <c r="A4919" i="1"/>
  <c r="B4919" i="1"/>
  <c r="C4919" i="1"/>
  <c r="D4919" i="1"/>
  <c r="A4920" i="1"/>
  <c r="B4920" i="1"/>
  <c r="C4920" i="1"/>
  <c r="D4920" i="1"/>
  <c r="A4921" i="1"/>
  <c r="B4921" i="1"/>
  <c r="C4921" i="1"/>
  <c r="D4921" i="1"/>
  <c r="A4922" i="1"/>
  <c r="B4922" i="1"/>
  <c r="C4922" i="1"/>
  <c r="D4922" i="1"/>
  <c r="A4923" i="1"/>
  <c r="B4923" i="1"/>
  <c r="C4923" i="1"/>
  <c r="D4923" i="1"/>
  <c r="A4924" i="1"/>
  <c r="B4924" i="1"/>
  <c r="C4924" i="1"/>
  <c r="D4924" i="1"/>
  <c r="A4925" i="1"/>
  <c r="B4925" i="1"/>
  <c r="C4925" i="1"/>
  <c r="D4925" i="1"/>
  <c r="A4926" i="1"/>
  <c r="B4926" i="1"/>
  <c r="C4926" i="1"/>
  <c r="D4926" i="1"/>
  <c r="A4927" i="1"/>
  <c r="B4927" i="1"/>
  <c r="C4927" i="1"/>
  <c r="D4927" i="1"/>
  <c r="A4928" i="1"/>
  <c r="B4928" i="1"/>
  <c r="C4928" i="1"/>
  <c r="D4928" i="1"/>
  <c r="A4929" i="1"/>
  <c r="B4929" i="1"/>
  <c r="C4929" i="1"/>
  <c r="D4929" i="1"/>
  <c r="A4930" i="1"/>
  <c r="B4930" i="1"/>
  <c r="C4930" i="1"/>
  <c r="D4930" i="1"/>
  <c r="A4931" i="1"/>
  <c r="B4931" i="1"/>
  <c r="C4931" i="1"/>
  <c r="D4931" i="1"/>
  <c r="A4932" i="1"/>
  <c r="B4932" i="1"/>
  <c r="C4932" i="1"/>
  <c r="D4932" i="1"/>
  <c r="A4933" i="1"/>
  <c r="B4933" i="1"/>
  <c r="C4933" i="1"/>
  <c r="D4933" i="1"/>
  <c r="A4934" i="1"/>
  <c r="B4934" i="1"/>
  <c r="C4934" i="1"/>
  <c r="D4934" i="1"/>
  <c r="A4935" i="1"/>
  <c r="B4935" i="1"/>
  <c r="C4935" i="1"/>
  <c r="D4935" i="1"/>
  <c r="A4936" i="1"/>
  <c r="B4936" i="1"/>
  <c r="C4936" i="1"/>
  <c r="D4936" i="1"/>
  <c r="A4937" i="1"/>
  <c r="B4937" i="1"/>
  <c r="C4937" i="1"/>
  <c r="D4937" i="1"/>
  <c r="A4938" i="1"/>
  <c r="B4938" i="1"/>
  <c r="C4938" i="1"/>
  <c r="D4938" i="1"/>
  <c r="A4939" i="1"/>
  <c r="B4939" i="1"/>
  <c r="C4939" i="1"/>
  <c r="D4939" i="1"/>
  <c r="A4940" i="1"/>
  <c r="B4940" i="1"/>
  <c r="C4940" i="1"/>
  <c r="D4940" i="1"/>
  <c r="A4941" i="1"/>
  <c r="B4941" i="1"/>
  <c r="C4941" i="1"/>
  <c r="D4941" i="1"/>
  <c r="A4942" i="1"/>
  <c r="B4942" i="1"/>
  <c r="C4942" i="1"/>
  <c r="D4942" i="1"/>
  <c r="A4943" i="1"/>
  <c r="B4943" i="1"/>
  <c r="C4943" i="1"/>
  <c r="D4943" i="1"/>
  <c r="A4944" i="1"/>
  <c r="B4944" i="1"/>
  <c r="C4944" i="1"/>
  <c r="D4944" i="1"/>
  <c r="A4945" i="1"/>
  <c r="B4945" i="1"/>
  <c r="C4945" i="1"/>
  <c r="D4945" i="1"/>
  <c r="A4946" i="1"/>
  <c r="B4946" i="1"/>
  <c r="C4946" i="1"/>
  <c r="D4946" i="1"/>
  <c r="A4947" i="1"/>
  <c r="B4947" i="1"/>
  <c r="C4947" i="1"/>
  <c r="D4947" i="1"/>
  <c r="A4948" i="1"/>
  <c r="B4948" i="1"/>
  <c r="C4948" i="1"/>
  <c r="D4948" i="1"/>
  <c r="A4949" i="1"/>
  <c r="B4949" i="1"/>
  <c r="C4949" i="1"/>
  <c r="D4949" i="1"/>
  <c r="A4950" i="1"/>
  <c r="B4950" i="1"/>
  <c r="C4950" i="1"/>
  <c r="D4950" i="1"/>
  <c r="A4951" i="1"/>
  <c r="B4951" i="1"/>
  <c r="C4951" i="1"/>
  <c r="D4951" i="1"/>
  <c r="A4952" i="1"/>
  <c r="B4952" i="1"/>
  <c r="C4952" i="1"/>
  <c r="D4952" i="1"/>
  <c r="A4953" i="1"/>
  <c r="B4953" i="1"/>
  <c r="C4953" i="1"/>
  <c r="D4953" i="1"/>
  <c r="A4954" i="1"/>
  <c r="B4954" i="1"/>
  <c r="C4954" i="1"/>
  <c r="D4954" i="1"/>
  <c r="A4955" i="1"/>
  <c r="B4955" i="1"/>
  <c r="C4955" i="1"/>
  <c r="D4955" i="1"/>
  <c r="A4956" i="1"/>
  <c r="B4956" i="1"/>
  <c r="C4956" i="1"/>
  <c r="D4956" i="1"/>
  <c r="A4957" i="1"/>
  <c r="B4957" i="1"/>
  <c r="C4957" i="1"/>
  <c r="D4957" i="1"/>
  <c r="A4958" i="1"/>
  <c r="B4958" i="1"/>
  <c r="C4958" i="1"/>
  <c r="D4958" i="1"/>
  <c r="A4959" i="1"/>
  <c r="B4959" i="1"/>
  <c r="C4959" i="1"/>
  <c r="D4959" i="1"/>
  <c r="A4960" i="1"/>
  <c r="B4960" i="1"/>
  <c r="C4960" i="1"/>
  <c r="D4960" i="1"/>
  <c r="A4961" i="1"/>
  <c r="B4961" i="1"/>
  <c r="C4961" i="1"/>
  <c r="D4961" i="1"/>
  <c r="A4962" i="1"/>
  <c r="B4962" i="1"/>
  <c r="C4962" i="1"/>
  <c r="D4962" i="1"/>
  <c r="A4963" i="1"/>
  <c r="B4963" i="1"/>
  <c r="C4963" i="1"/>
  <c r="D4963" i="1"/>
  <c r="A4964" i="1"/>
  <c r="B4964" i="1"/>
  <c r="C4964" i="1"/>
  <c r="D4964" i="1"/>
  <c r="A4965" i="1"/>
  <c r="B4965" i="1"/>
  <c r="C4965" i="1"/>
  <c r="D4965" i="1"/>
  <c r="A4966" i="1"/>
  <c r="B4966" i="1"/>
  <c r="C4966" i="1"/>
  <c r="D4966" i="1"/>
  <c r="A4967" i="1"/>
  <c r="B4967" i="1"/>
  <c r="C4967" i="1"/>
  <c r="D4967" i="1"/>
  <c r="A4968" i="1"/>
  <c r="B4968" i="1"/>
  <c r="C4968" i="1"/>
  <c r="D4968" i="1"/>
  <c r="A4969" i="1"/>
  <c r="B4969" i="1"/>
  <c r="C4969" i="1"/>
  <c r="D4969" i="1"/>
  <c r="A4970" i="1"/>
  <c r="B4970" i="1"/>
  <c r="C4970" i="1"/>
  <c r="D4970" i="1"/>
  <c r="A4971" i="1"/>
  <c r="B4971" i="1"/>
  <c r="C4971" i="1"/>
  <c r="D4971" i="1"/>
  <c r="A4972" i="1"/>
  <c r="B4972" i="1"/>
  <c r="C4972" i="1"/>
  <c r="D4972" i="1"/>
  <c r="A4973" i="1"/>
  <c r="B4973" i="1"/>
  <c r="C4973" i="1"/>
  <c r="D4973" i="1"/>
  <c r="A4974" i="1"/>
  <c r="B4974" i="1"/>
  <c r="C4974" i="1"/>
  <c r="D4974" i="1"/>
  <c r="A4975" i="1"/>
  <c r="B4975" i="1"/>
  <c r="C4975" i="1"/>
  <c r="D4975" i="1"/>
  <c r="A4976" i="1"/>
  <c r="B4976" i="1"/>
  <c r="C4976" i="1"/>
  <c r="D4976" i="1"/>
  <c r="A4977" i="1"/>
  <c r="B4977" i="1"/>
  <c r="C4977" i="1"/>
  <c r="D4977" i="1"/>
  <c r="A4978" i="1"/>
  <c r="B4978" i="1"/>
  <c r="C4978" i="1"/>
  <c r="D4978" i="1"/>
  <c r="A4979" i="1"/>
  <c r="B4979" i="1"/>
  <c r="C4979" i="1"/>
  <c r="D4979" i="1"/>
  <c r="A4980" i="1"/>
  <c r="B4980" i="1"/>
  <c r="C4980" i="1"/>
  <c r="D4980" i="1"/>
  <c r="A4981" i="1"/>
  <c r="B4981" i="1"/>
  <c r="C4981" i="1"/>
  <c r="D4981" i="1"/>
  <c r="A4982" i="1"/>
  <c r="B4982" i="1"/>
  <c r="C4982" i="1"/>
  <c r="D4982" i="1"/>
  <c r="A4983" i="1"/>
  <c r="B4983" i="1"/>
  <c r="C4983" i="1"/>
  <c r="D4983" i="1"/>
  <c r="A4984" i="1"/>
  <c r="B4984" i="1"/>
  <c r="C4984" i="1"/>
  <c r="D4984" i="1"/>
  <c r="A4985" i="1"/>
  <c r="B4985" i="1"/>
  <c r="C4985" i="1"/>
  <c r="D4985" i="1"/>
  <c r="A4986" i="1"/>
  <c r="B4986" i="1"/>
  <c r="C4986" i="1"/>
  <c r="D4986" i="1"/>
  <c r="A4987" i="1"/>
  <c r="B4987" i="1"/>
  <c r="C4987" i="1"/>
  <c r="D4987" i="1"/>
  <c r="A4988" i="1"/>
  <c r="B4988" i="1"/>
  <c r="C4988" i="1"/>
  <c r="D4988" i="1"/>
  <c r="A4989" i="1"/>
  <c r="B4989" i="1"/>
  <c r="C4989" i="1"/>
  <c r="D4989" i="1"/>
  <c r="A4990" i="1"/>
  <c r="B4990" i="1"/>
  <c r="C4990" i="1"/>
  <c r="D4990" i="1"/>
  <c r="A4991" i="1"/>
  <c r="B4991" i="1"/>
  <c r="C4991" i="1"/>
  <c r="D4991" i="1"/>
  <c r="A4992" i="1"/>
  <c r="B4992" i="1"/>
  <c r="C4992" i="1"/>
  <c r="D4992" i="1"/>
  <c r="A4993" i="1"/>
  <c r="B4993" i="1"/>
  <c r="C4993" i="1"/>
  <c r="D4993" i="1"/>
  <c r="A4994" i="1"/>
  <c r="B4994" i="1"/>
  <c r="C4994" i="1"/>
  <c r="D4994" i="1"/>
  <c r="A4995" i="1"/>
  <c r="B4995" i="1"/>
  <c r="C4995" i="1"/>
  <c r="D4995" i="1"/>
  <c r="A4996" i="1"/>
  <c r="B4996" i="1"/>
  <c r="C4996" i="1"/>
  <c r="D4996" i="1"/>
  <c r="A4997" i="1"/>
  <c r="B4997" i="1"/>
  <c r="C4997" i="1"/>
  <c r="D4997" i="1"/>
  <c r="A4998" i="1"/>
  <c r="B4998" i="1"/>
  <c r="C4998" i="1"/>
  <c r="D4998" i="1"/>
  <c r="A4999" i="1"/>
  <c r="B4999" i="1"/>
  <c r="C4999" i="1"/>
  <c r="D4999" i="1"/>
  <c r="A5000" i="1"/>
  <c r="B5000" i="1"/>
  <c r="C5000" i="1"/>
  <c r="D5000" i="1"/>
  <c r="A5001" i="1"/>
  <c r="B5001" i="1"/>
  <c r="C5001" i="1"/>
  <c r="D5001" i="1"/>
  <c r="A5002" i="1"/>
  <c r="B5002" i="1"/>
  <c r="C5002" i="1"/>
  <c r="D5002" i="1"/>
  <c r="A5003" i="1"/>
  <c r="B5003" i="1"/>
  <c r="C5003" i="1"/>
  <c r="D5003" i="1"/>
  <c r="A5004" i="1"/>
  <c r="B5004" i="1"/>
  <c r="C5004" i="1"/>
  <c r="D5004" i="1"/>
  <c r="A5005" i="1"/>
  <c r="B5005" i="1"/>
  <c r="C5005" i="1"/>
  <c r="D5005" i="1"/>
  <c r="A5006" i="1"/>
  <c r="B5006" i="1"/>
  <c r="C5006" i="1"/>
  <c r="D5006" i="1"/>
  <c r="A5007" i="1"/>
  <c r="B5007" i="1"/>
  <c r="C5007" i="1"/>
  <c r="D5007" i="1"/>
  <c r="A5008" i="1"/>
  <c r="B5008" i="1"/>
  <c r="C5008" i="1"/>
  <c r="D5008" i="1"/>
  <c r="A5009" i="1"/>
  <c r="B5009" i="1"/>
  <c r="C5009" i="1"/>
  <c r="D5009" i="1"/>
  <c r="A5010" i="1"/>
  <c r="B5010" i="1"/>
  <c r="C5010" i="1"/>
  <c r="D5010" i="1"/>
  <c r="A5011" i="1"/>
  <c r="B5011" i="1"/>
  <c r="C5011" i="1"/>
  <c r="D5011" i="1"/>
  <c r="A5012" i="1"/>
  <c r="B5012" i="1"/>
  <c r="C5012" i="1"/>
  <c r="D5012" i="1"/>
  <c r="A5013" i="1"/>
  <c r="B5013" i="1"/>
  <c r="C5013" i="1"/>
  <c r="D5013" i="1"/>
  <c r="A5014" i="1"/>
  <c r="B5014" i="1"/>
  <c r="C5014" i="1"/>
  <c r="D5014" i="1"/>
  <c r="A5015" i="1"/>
  <c r="B5015" i="1"/>
  <c r="C5015" i="1"/>
  <c r="D5015" i="1"/>
  <c r="A5016" i="1"/>
  <c r="B5016" i="1"/>
  <c r="C5016" i="1"/>
  <c r="D5016" i="1"/>
  <c r="A5017" i="1"/>
  <c r="B5017" i="1"/>
  <c r="C5017" i="1"/>
  <c r="D5017" i="1"/>
  <c r="A5018" i="1"/>
  <c r="B5018" i="1"/>
  <c r="C5018" i="1"/>
  <c r="D5018" i="1"/>
  <c r="A5019" i="1"/>
  <c r="B5019" i="1"/>
  <c r="C5019" i="1"/>
  <c r="D5019" i="1"/>
  <c r="A5020" i="1"/>
  <c r="B5020" i="1"/>
  <c r="C5020" i="1"/>
  <c r="D5020" i="1"/>
  <c r="A5021" i="1"/>
  <c r="B5021" i="1"/>
  <c r="C5021" i="1"/>
  <c r="D5021" i="1"/>
  <c r="A5022" i="1"/>
  <c r="B5022" i="1"/>
  <c r="C5022" i="1"/>
  <c r="D5022" i="1"/>
  <c r="A5023" i="1"/>
  <c r="B5023" i="1"/>
  <c r="C5023" i="1"/>
  <c r="D5023" i="1"/>
  <c r="A5024" i="1"/>
  <c r="B5024" i="1"/>
  <c r="C5024" i="1"/>
  <c r="D5024" i="1"/>
  <c r="A5025" i="1"/>
  <c r="B5025" i="1"/>
  <c r="C5025" i="1"/>
  <c r="D5025" i="1"/>
  <c r="A5026" i="1"/>
  <c r="B5026" i="1"/>
  <c r="C5026" i="1"/>
  <c r="D5026" i="1"/>
  <c r="A5027" i="1"/>
  <c r="B5027" i="1"/>
  <c r="C5027" i="1"/>
  <c r="D5027" i="1"/>
  <c r="A5028" i="1"/>
  <c r="B5028" i="1"/>
  <c r="C5028" i="1"/>
  <c r="D5028" i="1"/>
  <c r="A5029" i="1"/>
  <c r="B5029" i="1"/>
  <c r="C5029" i="1"/>
  <c r="D5029" i="1"/>
  <c r="A5030" i="1"/>
  <c r="B5030" i="1"/>
  <c r="C5030" i="1"/>
  <c r="D5030" i="1"/>
  <c r="A5031" i="1"/>
  <c r="B5031" i="1"/>
  <c r="C5031" i="1"/>
  <c r="D5031" i="1"/>
  <c r="A5032" i="1"/>
  <c r="B5032" i="1"/>
  <c r="C5032" i="1"/>
  <c r="D5032" i="1"/>
  <c r="A5033" i="1"/>
  <c r="B5033" i="1"/>
  <c r="C5033" i="1"/>
  <c r="D5033" i="1"/>
  <c r="A5034" i="1"/>
  <c r="B5034" i="1"/>
  <c r="C5034" i="1"/>
  <c r="D5034" i="1"/>
  <c r="A5035" i="1"/>
  <c r="B5035" i="1"/>
  <c r="C5035" i="1"/>
  <c r="D5035" i="1"/>
  <c r="A5036" i="1"/>
  <c r="B5036" i="1"/>
  <c r="C5036" i="1"/>
  <c r="D5036" i="1"/>
  <c r="A5037" i="1"/>
  <c r="B5037" i="1"/>
  <c r="C5037" i="1"/>
  <c r="D5037" i="1"/>
  <c r="A5038" i="1"/>
  <c r="B5038" i="1"/>
  <c r="C5038" i="1"/>
  <c r="D5038" i="1"/>
  <c r="A5039" i="1"/>
  <c r="B5039" i="1"/>
  <c r="C5039" i="1"/>
  <c r="D5039" i="1"/>
  <c r="A5040" i="1"/>
  <c r="B5040" i="1"/>
  <c r="C5040" i="1"/>
  <c r="D5040" i="1"/>
  <c r="A5041" i="1"/>
  <c r="B5041" i="1"/>
  <c r="C5041" i="1"/>
  <c r="D5041" i="1"/>
  <c r="A5042" i="1"/>
  <c r="B5042" i="1"/>
  <c r="C5042" i="1"/>
  <c r="D5042" i="1"/>
  <c r="A5043" i="1"/>
  <c r="B5043" i="1"/>
  <c r="C5043" i="1"/>
  <c r="D5043" i="1"/>
  <c r="A5044" i="1"/>
  <c r="B5044" i="1"/>
  <c r="C5044" i="1"/>
  <c r="D5044" i="1"/>
  <c r="A5045" i="1"/>
  <c r="B5045" i="1"/>
  <c r="C5045" i="1"/>
  <c r="D5045" i="1"/>
  <c r="A5046" i="1"/>
  <c r="B5046" i="1"/>
  <c r="C5046" i="1"/>
  <c r="D5046" i="1"/>
  <c r="A5047" i="1"/>
  <c r="B5047" i="1"/>
  <c r="C5047" i="1"/>
  <c r="D5047" i="1"/>
  <c r="A5048" i="1"/>
  <c r="B5048" i="1"/>
  <c r="C5048" i="1"/>
  <c r="D5048" i="1"/>
  <c r="A5049" i="1"/>
  <c r="B5049" i="1"/>
  <c r="C5049" i="1"/>
  <c r="D5049" i="1"/>
  <c r="A5050" i="1"/>
  <c r="B5050" i="1"/>
  <c r="C5050" i="1"/>
  <c r="D5050" i="1"/>
  <c r="A5051" i="1"/>
  <c r="B5051" i="1"/>
  <c r="C5051" i="1"/>
  <c r="D5051" i="1"/>
  <c r="A5052" i="1"/>
  <c r="B5052" i="1"/>
  <c r="C5052" i="1"/>
  <c r="D5052" i="1"/>
  <c r="A5053" i="1"/>
  <c r="B5053" i="1"/>
  <c r="C5053" i="1"/>
  <c r="D5053" i="1"/>
  <c r="A5054" i="1"/>
  <c r="B5054" i="1"/>
  <c r="C5054" i="1"/>
  <c r="D5054" i="1"/>
  <c r="A5055" i="1"/>
  <c r="B5055" i="1"/>
  <c r="C5055" i="1"/>
  <c r="D5055" i="1"/>
  <c r="A5056" i="1"/>
  <c r="B5056" i="1"/>
  <c r="C5056" i="1"/>
  <c r="D5056" i="1"/>
  <c r="A5057" i="1"/>
  <c r="B5057" i="1"/>
  <c r="C5057" i="1"/>
  <c r="D5057" i="1"/>
  <c r="A5058" i="1"/>
  <c r="B5058" i="1"/>
  <c r="C5058" i="1"/>
  <c r="D5058" i="1"/>
  <c r="A5059" i="1"/>
  <c r="B5059" i="1"/>
  <c r="C5059" i="1"/>
  <c r="D5059" i="1"/>
  <c r="A5060" i="1"/>
  <c r="B5060" i="1"/>
  <c r="C5060" i="1"/>
  <c r="D5060" i="1"/>
  <c r="A5061" i="1"/>
  <c r="B5061" i="1"/>
  <c r="C5061" i="1"/>
  <c r="D5061" i="1"/>
  <c r="A5062" i="1"/>
  <c r="B5062" i="1"/>
  <c r="C5062" i="1"/>
  <c r="D5062" i="1"/>
  <c r="A5063" i="1"/>
  <c r="B5063" i="1"/>
  <c r="C5063" i="1"/>
  <c r="D5063" i="1"/>
  <c r="A5064" i="1"/>
  <c r="B5064" i="1"/>
  <c r="C5064" i="1"/>
  <c r="D5064" i="1"/>
  <c r="A5065" i="1"/>
  <c r="B5065" i="1"/>
  <c r="C5065" i="1"/>
  <c r="D5065" i="1"/>
  <c r="A5066" i="1"/>
  <c r="B5066" i="1"/>
  <c r="C5066" i="1"/>
  <c r="D5066" i="1"/>
  <c r="A5067" i="1"/>
  <c r="B5067" i="1"/>
  <c r="C5067" i="1"/>
  <c r="D5067" i="1"/>
  <c r="A5068" i="1"/>
  <c r="B5068" i="1"/>
  <c r="C5068" i="1"/>
  <c r="D5068" i="1"/>
  <c r="A5069" i="1"/>
  <c r="B5069" i="1"/>
  <c r="C5069" i="1"/>
  <c r="D5069" i="1"/>
  <c r="A5070" i="1"/>
  <c r="B5070" i="1"/>
  <c r="C5070" i="1"/>
  <c r="D5070" i="1"/>
  <c r="A5071" i="1"/>
  <c r="B5071" i="1"/>
  <c r="C5071" i="1"/>
  <c r="D5071" i="1"/>
  <c r="A5072" i="1"/>
  <c r="B5072" i="1"/>
  <c r="C5072" i="1"/>
  <c r="D5072" i="1"/>
  <c r="A5073" i="1"/>
  <c r="B5073" i="1"/>
  <c r="C5073" i="1"/>
  <c r="D5073" i="1"/>
  <c r="A5074" i="1"/>
  <c r="B5074" i="1"/>
  <c r="C5074" i="1"/>
  <c r="D5074" i="1"/>
  <c r="A5075" i="1"/>
  <c r="B5075" i="1"/>
  <c r="C5075" i="1"/>
  <c r="D5075" i="1"/>
  <c r="A5076" i="1"/>
  <c r="B5076" i="1"/>
  <c r="C5076" i="1"/>
  <c r="D5076" i="1"/>
  <c r="A5077" i="1"/>
  <c r="B5077" i="1"/>
  <c r="C5077" i="1"/>
  <c r="D5077" i="1"/>
  <c r="A5078" i="1"/>
  <c r="B5078" i="1"/>
  <c r="C5078" i="1"/>
  <c r="D5078" i="1"/>
  <c r="A5079" i="1"/>
  <c r="B5079" i="1"/>
  <c r="C5079" i="1"/>
  <c r="D5079" i="1"/>
  <c r="A5080" i="1"/>
  <c r="B5080" i="1"/>
  <c r="C5080" i="1"/>
  <c r="D5080" i="1"/>
  <c r="A5081" i="1"/>
  <c r="B5081" i="1"/>
  <c r="C5081" i="1"/>
  <c r="D5081" i="1"/>
  <c r="A5082" i="1"/>
  <c r="B5082" i="1"/>
  <c r="C5082" i="1"/>
  <c r="D5082" i="1"/>
  <c r="A5083" i="1"/>
  <c r="B5083" i="1"/>
  <c r="C5083" i="1"/>
  <c r="D5083" i="1"/>
  <c r="A5084" i="1"/>
  <c r="B5084" i="1"/>
  <c r="C5084" i="1"/>
  <c r="D5084" i="1"/>
  <c r="A5085" i="1"/>
  <c r="B5085" i="1"/>
  <c r="C5085" i="1"/>
  <c r="D5085" i="1"/>
  <c r="A5086" i="1"/>
  <c r="B5086" i="1"/>
  <c r="C5086" i="1"/>
  <c r="D5086" i="1"/>
  <c r="A5087" i="1"/>
  <c r="B5087" i="1"/>
  <c r="C5087" i="1"/>
  <c r="D5087" i="1"/>
  <c r="A5088" i="1"/>
  <c r="B5088" i="1"/>
  <c r="C5088" i="1"/>
  <c r="D5088" i="1"/>
  <c r="A5089" i="1"/>
  <c r="B5089" i="1"/>
  <c r="C5089" i="1"/>
  <c r="D5089" i="1"/>
  <c r="A5090" i="1"/>
  <c r="B5090" i="1"/>
  <c r="C5090" i="1"/>
  <c r="D5090" i="1"/>
  <c r="A5091" i="1"/>
  <c r="B5091" i="1"/>
  <c r="C5091" i="1"/>
  <c r="D5091" i="1"/>
  <c r="A5092" i="1"/>
  <c r="B5092" i="1"/>
  <c r="C5092" i="1"/>
  <c r="D5092" i="1"/>
  <c r="A5093" i="1"/>
  <c r="B5093" i="1"/>
  <c r="C5093" i="1"/>
  <c r="D5093" i="1"/>
  <c r="A5094" i="1"/>
  <c r="B5094" i="1"/>
  <c r="C5094" i="1"/>
  <c r="D5094" i="1"/>
  <c r="A5095" i="1"/>
  <c r="B5095" i="1"/>
  <c r="C5095" i="1"/>
  <c r="D5095" i="1"/>
  <c r="A5096" i="1"/>
  <c r="B5096" i="1"/>
  <c r="C5096" i="1"/>
  <c r="D5096" i="1"/>
  <c r="A5097" i="1"/>
  <c r="B5097" i="1"/>
  <c r="C5097" i="1"/>
  <c r="D5097" i="1"/>
  <c r="A5098" i="1"/>
  <c r="B5098" i="1"/>
  <c r="C5098" i="1"/>
  <c r="D5098" i="1"/>
  <c r="A5099" i="1"/>
  <c r="B5099" i="1"/>
  <c r="C5099" i="1"/>
  <c r="D5099" i="1"/>
  <c r="A5100" i="1"/>
  <c r="B5100" i="1"/>
  <c r="C5100" i="1"/>
  <c r="D5100" i="1"/>
  <c r="A5101" i="1"/>
  <c r="B5101" i="1"/>
  <c r="C5101" i="1"/>
  <c r="D5101" i="1"/>
  <c r="A5102" i="1"/>
  <c r="B5102" i="1"/>
  <c r="C5102" i="1"/>
  <c r="D5102" i="1"/>
  <c r="A5103" i="1"/>
  <c r="B5103" i="1"/>
  <c r="C5103" i="1"/>
  <c r="D5103" i="1"/>
  <c r="A5104" i="1"/>
  <c r="B5104" i="1"/>
  <c r="C5104" i="1"/>
  <c r="D5104" i="1"/>
  <c r="A5105" i="1"/>
  <c r="B5105" i="1"/>
  <c r="C5105" i="1"/>
  <c r="D5105" i="1"/>
  <c r="A5106" i="1"/>
  <c r="B5106" i="1"/>
  <c r="C5106" i="1"/>
  <c r="D5106" i="1"/>
  <c r="A5107" i="1"/>
  <c r="B5107" i="1"/>
  <c r="C5107" i="1"/>
  <c r="D5107" i="1"/>
  <c r="A5108" i="1"/>
  <c r="B5108" i="1"/>
  <c r="C5108" i="1"/>
  <c r="D5108" i="1"/>
  <c r="A5109" i="1"/>
  <c r="B5109" i="1"/>
  <c r="C5109" i="1"/>
  <c r="D5109" i="1"/>
  <c r="A5110" i="1"/>
  <c r="B5110" i="1"/>
  <c r="C5110" i="1"/>
  <c r="D5110" i="1"/>
  <c r="A5111" i="1"/>
  <c r="B5111" i="1"/>
  <c r="C5111" i="1"/>
  <c r="D5111" i="1"/>
  <c r="A5112" i="1"/>
  <c r="B5112" i="1"/>
  <c r="C5112" i="1"/>
  <c r="D5112" i="1"/>
  <c r="A5113" i="1"/>
  <c r="B5113" i="1"/>
  <c r="C5113" i="1"/>
  <c r="D5113" i="1"/>
  <c r="A5114" i="1"/>
  <c r="B5114" i="1"/>
  <c r="C5114" i="1"/>
  <c r="D5114" i="1"/>
  <c r="A5115" i="1"/>
  <c r="B5115" i="1"/>
  <c r="C5115" i="1"/>
  <c r="D5115" i="1"/>
  <c r="A5116" i="1"/>
  <c r="B5116" i="1"/>
  <c r="C5116" i="1"/>
  <c r="D5116" i="1"/>
  <c r="A5117" i="1"/>
  <c r="B5117" i="1"/>
  <c r="C5117" i="1"/>
  <c r="D5117" i="1"/>
  <c r="A5118" i="1"/>
  <c r="B5118" i="1"/>
  <c r="C5118" i="1"/>
  <c r="D5118" i="1"/>
  <c r="A5119" i="1"/>
  <c r="B5119" i="1"/>
  <c r="C5119" i="1"/>
  <c r="D5119" i="1"/>
  <c r="A5120" i="1"/>
  <c r="B5120" i="1"/>
  <c r="C5120" i="1"/>
  <c r="D5120" i="1"/>
  <c r="A5121" i="1"/>
  <c r="B5121" i="1"/>
  <c r="C5121" i="1"/>
  <c r="D5121" i="1"/>
  <c r="A5122" i="1"/>
  <c r="B5122" i="1"/>
  <c r="C5122" i="1"/>
  <c r="D5122" i="1"/>
  <c r="A5123" i="1"/>
  <c r="B5123" i="1"/>
  <c r="C5123" i="1"/>
  <c r="D5123" i="1"/>
  <c r="A5124" i="1"/>
  <c r="B5124" i="1"/>
  <c r="C5124" i="1"/>
  <c r="D5124" i="1"/>
  <c r="A5125" i="1"/>
  <c r="B5125" i="1"/>
  <c r="C5125" i="1"/>
  <c r="D5125" i="1"/>
  <c r="A5126" i="1"/>
  <c r="B5126" i="1"/>
  <c r="C5126" i="1"/>
  <c r="D5126" i="1"/>
  <c r="A5127" i="1"/>
  <c r="B5127" i="1"/>
  <c r="C5127" i="1"/>
  <c r="D5127" i="1"/>
  <c r="A5128" i="1"/>
  <c r="B5128" i="1"/>
  <c r="C5128" i="1"/>
  <c r="D5128" i="1"/>
  <c r="A5129" i="1"/>
  <c r="B5129" i="1"/>
  <c r="C5129" i="1"/>
  <c r="D5129" i="1"/>
  <c r="A5130" i="1"/>
  <c r="B5130" i="1"/>
  <c r="C5130" i="1"/>
  <c r="D5130" i="1"/>
  <c r="A5131" i="1"/>
  <c r="B5131" i="1"/>
  <c r="C5131" i="1"/>
  <c r="D5131" i="1"/>
  <c r="A5132" i="1"/>
  <c r="B5132" i="1"/>
  <c r="C5132" i="1"/>
  <c r="D5132" i="1"/>
  <c r="A5133" i="1"/>
  <c r="B5133" i="1"/>
  <c r="C5133" i="1"/>
  <c r="D5133" i="1"/>
  <c r="A5134" i="1"/>
  <c r="B5134" i="1"/>
  <c r="C5134" i="1"/>
  <c r="D5134" i="1"/>
  <c r="A5135" i="1"/>
  <c r="B5135" i="1"/>
  <c r="C5135" i="1"/>
  <c r="D5135" i="1"/>
  <c r="A5136" i="1"/>
  <c r="B5136" i="1"/>
  <c r="C5136" i="1"/>
  <c r="D5136" i="1"/>
  <c r="A5137" i="1"/>
  <c r="B5137" i="1"/>
  <c r="C5137" i="1"/>
  <c r="D5137" i="1"/>
  <c r="A5138" i="1"/>
  <c r="B5138" i="1"/>
  <c r="C5138" i="1"/>
  <c r="D5138" i="1"/>
  <c r="A5139" i="1"/>
  <c r="B5139" i="1"/>
  <c r="C5139" i="1"/>
  <c r="D5139" i="1"/>
  <c r="A5140" i="1"/>
  <c r="B5140" i="1"/>
  <c r="C5140" i="1"/>
  <c r="D5140" i="1"/>
  <c r="A5141" i="1"/>
  <c r="B5141" i="1"/>
  <c r="C5141" i="1"/>
  <c r="D5141" i="1"/>
  <c r="A5142" i="1"/>
  <c r="B5142" i="1"/>
  <c r="C5142" i="1"/>
  <c r="D5142" i="1"/>
  <c r="A5143" i="1"/>
  <c r="B5143" i="1"/>
  <c r="C5143" i="1"/>
  <c r="D5143" i="1"/>
  <c r="A5144" i="1"/>
  <c r="B5144" i="1"/>
  <c r="C5144" i="1"/>
  <c r="D5144" i="1"/>
  <c r="A5145" i="1"/>
  <c r="B5145" i="1"/>
  <c r="C5145" i="1"/>
  <c r="D5145" i="1"/>
  <c r="A5146" i="1"/>
  <c r="B5146" i="1"/>
  <c r="C5146" i="1"/>
  <c r="D5146" i="1"/>
  <c r="A5147" i="1"/>
  <c r="B5147" i="1"/>
  <c r="C5147" i="1"/>
  <c r="D5147" i="1"/>
  <c r="A5148" i="1"/>
  <c r="B5148" i="1"/>
  <c r="C5148" i="1"/>
  <c r="D5148" i="1"/>
  <c r="A5149" i="1"/>
  <c r="B5149" i="1"/>
  <c r="C5149" i="1"/>
  <c r="D5149" i="1"/>
  <c r="A5150" i="1"/>
  <c r="B5150" i="1"/>
  <c r="C5150" i="1"/>
  <c r="D5150" i="1"/>
  <c r="A5151" i="1"/>
  <c r="B5151" i="1"/>
  <c r="C5151" i="1"/>
  <c r="D5151" i="1"/>
  <c r="A5152" i="1"/>
  <c r="B5152" i="1"/>
  <c r="C5152" i="1"/>
  <c r="D5152" i="1"/>
  <c r="A5153" i="1"/>
  <c r="B5153" i="1"/>
  <c r="C5153" i="1"/>
  <c r="D5153" i="1"/>
  <c r="A5154" i="1"/>
  <c r="B5154" i="1"/>
  <c r="C5154" i="1"/>
  <c r="D5154" i="1"/>
  <c r="A5155" i="1"/>
  <c r="B5155" i="1"/>
  <c r="C5155" i="1"/>
  <c r="D5155" i="1"/>
  <c r="A5156" i="1"/>
  <c r="B5156" i="1"/>
  <c r="C5156" i="1"/>
  <c r="D5156" i="1"/>
  <c r="A5157" i="1"/>
  <c r="B5157" i="1"/>
  <c r="C5157" i="1"/>
  <c r="D5157" i="1"/>
  <c r="A5158" i="1"/>
  <c r="B5158" i="1"/>
  <c r="C5158" i="1"/>
  <c r="D5158" i="1"/>
  <c r="A5159" i="1"/>
  <c r="B5159" i="1"/>
  <c r="C5159" i="1"/>
  <c r="D5159" i="1"/>
  <c r="A5160" i="1"/>
  <c r="B5160" i="1"/>
  <c r="C5160" i="1"/>
  <c r="D5160" i="1"/>
  <c r="A5161" i="1"/>
  <c r="B5161" i="1"/>
  <c r="C5161" i="1"/>
  <c r="D5161" i="1"/>
  <c r="A5162" i="1"/>
  <c r="B5162" i="1"/>
  <c r="C5162" i="1"/>
  <c r="D5162" i="1"/>
  <c r="A5163" i="1"/>
  <c r="B5163" i="1"/>
  <c r="C5163" i="1"/>
  <c r="D5163" i="1"/>
  <c r="A5164" i="1"/>
  <c r="B5164" i="1"/>
  <c r="C5164" i="1"/>
  <c r="D5164" i="1"/>
  <c r="A5165" i="1"/>
  <c r="B5165" i="1"/>
  <c r="C5165" i="1"/>
  <c r="D5165" i="1"/>
  <c r="A5166" i="1"/>
  <c r="B5166" i="1"/>
  <c r="C5166" i="1"/>
  <c r="D5166" i="1"/>
  <c r="A5167" i="1"/>
  <c r="B5167" i="1"/>
  <c r="C5167" i="1"/>
  <c r="D5167" i="1"/>
  <c r="A5168" i="1"/>
  <c r="B5168" i="1"/>
  <c r="C5168" i="1"/>
  <c r="D5168" i="1"/>
  <c r="A5169" i="1"/>
  <c r="B5169" i="1"/>
  <c r="C5169" i="1"/>
  <c r="D5169" i="1"/>
  <c r="A5170" i="1"/>
  <c r="B5170" i="1"/>
  <c r="C5170" i="1"/>
  <c r="D5170" i="1"/>
  <c r="A5171" i="1"/>
  <c r="B5171" i="1"/>
  <c r="C5171" i="1"/>
  <c r="D5171" i="1"/>
  <c r="A5172" i="1"/>
  <c r="B5172" i="1"/>
  <c r="C5172" i="1"/>
  <c r="D5172" i="1"/>
  <c r="A5173" i="1"/>
  <c r="B5173" i="1"/>
  <c r="C5173" i="1"/>
  <c r="D5173" i="1"/>
  <c r="A5174" i="1"/>
  <c r="B5174" i="1"/>
  <c r="C5174" i="1"/>
  <c r="D5174" i="1"/>
  <c r="A5175" i="1"/>
  <c r="B5175" i="1"/>
  <c r="C5175" i="1"/>
  <c r="D5175" i="1"/>
  <c r="A5176" i="1"/>
  <c r="B5176" i="1"/>
  <c r="C5176" i="1"/>
  <c r="D5176" i="1"/>
  <c r="A5177" i="1"/>
  <c r="B5177" i="1"/>
  <c r="C5177" i="1"/>
  <c r="D5177" i="1"/>
  <c r="A5178" i="1"/>
  <c r="B5178" i="1"/>
  <c r="C5178" i="1"/>
  <c r="D5178" i="1"/>
  <c r="A5179" i="1"/>
  <c r="B5179" i="1"/>
  <c r="C5179" i="1"/>
  <c r="D5179" i="1"/>
  <c r="A5180" i="1"/>
  <c r="B5180" i="1"/>
  <c r="C5180" i="1"/>
  <c r="D5180" i="1"/>
  <c r="A5181" i="1"/>
  <c r="B5181" i="1"/>
  <c r="C5181" i="1"/>
  <c r="D5181" i="1"/>
  <c r="A5182" i="1"/>
  <c r="B5182" i="1"/>
  <c r="C5182" i="1"/>
  <c r="D5182" i="1"/>
  <c r="A5183" i="1"/>
  <c r="B5183" i="1"/>
  <c r="C5183" i="1"/>
  <c r="D5183" i="1"/>
  <c r="A5184" i="1"/>
  <c r="B5184" i="1"/>
  <c r="C5184" i="1"/>
  <c r="D5184" i="1"/>
  <c r="A5185" i="1"/>
  <c r="B5185" i="1"/>
  <c r="C5185" i="1"/>
  <c r="D5185" i="1"/>
  <c r="A5186" i="1"/>
  <c r="B5186" i="1"/>
  <c r="C5186" i="1"/>
  <c r="D5186" i="1"/>
  <c r="A5187" i="1"/>
  <c r="B5187" i="1"/>
  <c r="C5187" i="1"/>
  <c r="D5187" i="1"/>
  <c r="A5188" i="1"/>
  <c r="B5188" i="1"/>
  <c r="C5188" i="1"/>
  <c r="D5188" i="1"/>
  <c r="A5189" i="1"/>
  <c r="B5189" i="1"/>
  <c r="C5189" i="1"/>
  <c r="D5189" i="1"/>
  <c r="A5190" i="1"/>
  <c r="B5190" i="1"/>
  <c r="C5190" i="1"/>
  <c r="D5190" i="1"/>
  <c r="A5191" i="1"/>
  <c r="B5191" i="1"/>
  <c r="C5191" i="1"/>
  <c r="D5191" i="1"/>
  <c r="A5192" i="1"/>
  <c r="B5192" i="1"/>
  <c r="C5192" i="1"/>
  <c r="D5192" i="1"/>
  <c r="A5193" i="1"/>
  <c r="B5193" i="1"/>
  <c r="C5193" i="1"/>
  <c r="D5193" i="1"/>
  <c r="A5194" i="1"/>
  <c r="B5194" i="1"/>
  <c r="C5194" i="1"/>
  <c r="D5194" i="1"/>
  <c r="A5195" i="1"/>
  <c r="B5195" i="1"/>
  <c r="C5195" i="1"/>
  <c r="D5195" i="1"/>
  <c r="A5196" i="1"/>
  <c r="B5196" i="1"/>
  <c r="C5196" i="1"/>
  <c r="D5196" i="1"/>
  <c r="A5197" i="1"/>
  <c r="B5197" i="1"/>
  <c r="C5197" i="1"/>
  <c r="D5197" i="1"/>
  <c r="A5198" i="1"/>
  <c r="B5198" i="1"/>
  <c r="C5198" i="1"/>
  <c r="D5198" i="1"/>
  <c r="A5199" i="1"/>
  <c r="B5199" i="1"/>
  <c r="C5199" i="1"/>
  <c r="D5199" i="1"/>
  <c r="A5200" i="1"/>
  <c r="B5200" i="1"/>
  <c r="C5200" i="1"/>
  <c r="D5200" i="1"/>
  <c r="A5201" i="1"/>
  <c r="B5201" i="1"/>
  <c r="C5201" i="1"/>
  <c r="D5201" i="1"/>
  <c r="A5202" i="1"/>
  <c r="B5202" i="1"/>
  <c r="C5202" i="1"/>
  <c r="D5202" i="1"/>
  <c r="A5203" i="1"/>
  <c r="B5203" i="1"/>
  <c r="C5203" i="1"/>
  <c r="D5203" i="1"/>
  <c r="A5204" i="1"/>
  <c r="B5204" i="1"/>
  <c r="C5204" i="1"/>
  <c r="D5204" i="1"/>
  <c r="A5205" i="1"/>
  <c r="B5205" i="1"/>
  <c r="C5205" i="1"/>
  <c r="D5205" i="1"/>
  <c r="A5206" i="1"/>
  <c r="B5206" i="1"/>
  <c r="C5206" i="1"/>
  <c r="D5206" i="1"/>
  <c r="A5207" i="1"/>
  <c r="B5207" i="1"/>
  <c r="C5207" i="1"/>
  <c r="D5207" i="1"/>
  <c r="A5208" i="1"/>
  <c r="B5208" i="1"/>
  <c r="C5208" i="1"/>
  <c r="D5208" i="1"/>
  <c r="A5209" i="1"/>
  <c r="B5209" i="1"/>
  <c r="C5209" i="1"/>
  <c r="D5209" i="1"/>
  <c r="A5210" i="1"/>
  <c r="B5210" i="1"/>
  <c r="C5210" i="1"/>
  <c r="D5210" i="1"/>
  <c r="A5211" i="1"/>
  <c r="B5211" i="1"/>
  <c r="C5211" i="1"/>
  <c r="D5211" i="1"/>
  <c r="A5212" i="1"/>
  <c r="B5212" i="1"/>
  <c r="C5212" i="1"/>
  <c r="D5212" i="1"/>
  <c r="A5213" i="1"/>
  <c r="B5213" i="1"/>
  <c r="C5213" i="1"/>
  <c r="D5213" i="1"/>
  <c r="A5214" i="1"/>
  <c r="B5214" i="1"/>
  <c r="C5214" i="1"/>
  <c r="D5214" i="1"/>
  <c r="A5215" i="1"/>
  <c r="B5215" i="1"/>
  <c r="C5215" i="1"/>
  <c r="D5215" i="1"/>
  <c r="A5216" i="1"/>
  <c r="B5216" i="1"/>
  <c r="C5216" i="1"/>
  <c r="D5216" i="1"/>
  <c r="A5217" i="1"/>
  <c r="B5217" i="1"/>
  <c r="C5217" i="1"/>
  <c r="D5217" i="1"/>
  <c r="A5218" i="1"/>
  <c r="B5218" i="1"/>
  <c r="C5218" i="1"/>
  <c r="D5218" i="1"/>
  <c r="A5219" i="1"/>
  <c r="B5219" i="1"/>
  <c r="C5219" i="1"/>
  <c r="D5219" i="1"/>
  <c r="A5220" i="1"/>
  <c r="B5220" i="1"/>
  <c r="C5220" i="1"/>
  <c r="D5220" i="1"/>
  <c r="A5221" i="1"/>
  <c r="B5221" i="1"/>
  <c r="C5221" i="1"/>
  <c r="D5221" i="1"/>
  <c r="A5222" i="1"/>
  <c r="B5222" i="1"/>
  <c r="C5222" i="1"/>
  <c r="D5222" i="1"/>
  <c r="A5223" i="1"/>
  <c r="B5223" i="1"/>
  <c r="C5223" i="1"/>
  <c r="D5223" i="1"/>
  <c r="A5224" i="1"/>
  <c r="B5224" i="1"/>
  <c r="C5224" i="1"/>
  <c r="D5224" i="1"/>
  <c r="A5225" i="1"/>
  <c r="B5225" i="1"/>
  <c r="C5225" i="1"/>
  <c r="D5225" i="1"/>
  <c r="A5226" i="1"/>
  <c r="B5226" i="1"/>
  <c r="C5226" i="1"/>
  <c r="D5226" i="1"/>
  <c r="A5227" i="1"/>
  <c r="B5227" i="1"/>
  <c r="C5227" i="1"/>
  <c r="D5227" i="1"/>
  <c r="A5228" i="1"/>
  <c r="B5228" i="1"/>
  <c r="C5228" i="1"/>
  <c r="D5228" i="1"/>
  <c r="A5229" i="1"/>
  <c r="B5229" i="1"/>
  <c r="C5229" i="1"/>
  <c r="D5229" i="1"/>
  <c r="A5230" i="1"/>
  <c r="B5230" i="1"/>
  <c r="C5230" i="1"/>
  <c r="D5230" i="1"/>
  <c r="A5231" i="1"/>
  <c r="B5231" i="1"/>
  <c r="C5231" i="1"/>
  <c r="D5231" i="1"/>
  <c r="A5232" i="1"/>
  <c r="B5232" i="1"/>
  <c r="C5232" i="1"/>
  <c r="D5232" i="1"/>
  <c r="A5233" i="1"/>
  <c r="B5233" i="1"/>
  <c r="C5233" i="1"/>
  <c r="D5233" i="1"/>
  <c r="A5234" i="1"/>
  <c r="B5234" i="1"/>
  <c r="C5234" i="1"/>
  <c r="D5234" i="1"/>
  <c r="A5235" i="1"/>
  <c r="B5235" i="1"/>
  <c r="C5235" i="1"/>
  <c r="D5235" i="1"/>
  <c r="A5236" i="1"/>
  <c r="B5236" i="1"/>
  <c r="C5236" i="1"/>
  <c r="D5236" i="1"/>
  <c r="A5237" i="1"/>
  <c r="B5237" i="1"/>
  <c r="C5237" i="1"/>
  <c r="D5237" i="1"/>
  <c r="A5238" i="1"/>
  <c r="B5238" i="1"/>
  <c r="C5238" i="1"/>
  <c r="D5238" i="1"/>
  <c r="A5239" i="1"/>
  <c r="B5239" i="1"/>
  <c r="C5239" i="1"/>
  <c r="D5239" i="1"/>
  <c r="A5240" i="1"/>
  <c r="B5240" i="1"/>
  <c r="C5240" i="1"/>
  <c r="D5240" i="1"/>
  <c r="A5241" i="1"/>
  <c r="B5241" i="1"/>
  <c r="C5241" i="1"/>
  <c r="D5241" i="1"/>
  <c r="A5242" i="1"/>
  <c r="B5242" i="1"/>
  <c r="C5242" i="1"/>
  <c r="D5242" i="1"/>
  <c r="A5243" i="1"/>
  <c r="B5243" i="1"/>
  <c r="C5243" i="1"/>
  <c r="D5243" i="1"/>
  <c r="A5244" i="1"/>
  <c r="B5244" i="1"/>
  <c r="C5244" i="1"/>
  <c r="D5244" i="1"/>
  <c r="A5245" i="1"/>
  <c r="B5245" i="1"/>
  <c r="C5245" i="1"/>
  <c r="D5245" i="1"/>
  <c r="A5246" i="1"/>
  <c r="B5246" i="1"/>
  <c r="C5246" i="1"/>
  <c r="D5246" i="1"/>
  <c r="A5247" i="1"/>
  <c r="B5247" i="1"/>
  <c r="C5247" i="1"/>
  <c r="D5247" i="1"/>
  <c r="A5248" i="1"/>
  <c r="B5248" i="1"/>
  <c r="C5248" i="1"/>
  <c r="D5248" i="1"/>
  <c r="A5249" i="1"/>
  <c r="B5249" i="1"/>
  <c r="C5249" i="1"/>
  <c r="D5249" i="1"/>
  <c r="A5250" i="1"/>
  <c r="B5250" i="1"/>
  <c r="C5250" i="1"/>
  <c r="D5250" i="1"/>
  <c r="A5251" i="1"/>
  <c r="B5251" i="1"/>
  <c r="C5251" i="1"/>
  <c r="D5251" i="1"/>
  <c r="A5252" i="1"/>
  <c r="B5252" i="1"/>
  <c r="C5252" i="1"/>
  <c r="D5252" i="1"/>
  <c r="A5253" i="1"/>
  <c r="B5253" i="1"/>
  <c r="C5253" i="1"/>
  <c r="D5253" i="1"/>
  <c r="A5254" i="1"/>
  <c r="B5254" i="1"/>
  <c r="C5254" i="1"/>
  <c r="D5254" i="1"/>
  <c r="A5255" i="1"/>
  <c r="B5255" i="1"/>
  <c r="C5255" i="1"/>
  <c r="D5255" i="1"/>
  <c r="A5256" i="1"/>
  <c r="B5256" i="1"/>
  <c r="C5256" i="1"/>
  <c r="D5256" i="1"/>
  <c r="A5257" i="1"/>
  <c r="B5257" i="1"/>
  <c r="C5257" i="1"/>
  <c r="D5257" i="1"/>
  <c r="A5258" i="1"/>
  <c r="B5258" i="1"/>
  <c r="C5258" i="1"/>
  <c r="D5258" i="1"/>
  <c r="A5259" i="1"/>
  <c r="B5259" i="1"/>
  <c r="C5259" i="1"/>
  <c r="D5259" i="1"/>
  <c r="A5260" i="1"/>
  <c r="B5260" i="1"/>
  <c r="C5260" i="1"/>
  <c r="D5260" i="1"/>
  <c r="A5261" i="1"/>
  <c r="B5261" i="1"/>
  <c r="C5261" i="1"/>
  <c r="D5261" i="1"/>
  <c r="A5262" i="1"/>
  <c r="B5262" i="1"/>
  <c r="C5262" i="1"/>
  <c r="D5262" i="1"/>
  <c r="A5263" i="1"/>
  <c r="B5263" i="1"/>
  <c r="C5263" i="1"/>
  <c r="D5263" i="1"/>
  <c r="A5264" i="1"/>
  <c r="B5264" i="1"/>
  <c r="C5264" i="1"/>
  <c r="D5264" i="1"/>
  <c r="A5265" i="1"/>
  <c r="B5265" i="1"/>
  <c r="C5265" i="1"/>
  <c r="D5265" i="1"/>
  <c r="A5266" i="1"/>
  <c r="B5266" i="1"/>
  <c r="C5266" i="1"/>
  <c r="D5266" i="1"/>
  <c r="A5267" i="1"/>
  <c r="B5267" i="1"/>
  <c r="C5267" i="1"/>
  <c r="D5267" i="1"/>
  <c r="A5268" i="1"/>
  <c r="B5268" i="1"/>
  <c r="C5268" i="1"/>
  <c r="D5268" i="1"/>
  <c r="A5269" i="1"/>
  <c r="B5269" i="1"/>
  <c r="C5269" i="1"/>
  <c r="D5269" i="1"/>
  <c r="A5270" i="1"/>
  <c r="B5270" i="1"/>
  <c r="C5270" i="1"/>
  <c r="D5270" i="1"/>
  <c r="A5271" i="1"/>
  <c r="B5271" i="1"/>
  <c r="C5271" i="1"/>
  <c r="D5271" i="1"/>
  <c r="A5272" i="1"/>
  <c r="B5272" i="1"/>
  <c r="C5272" i="1"/>
  <c r="D5272" i="1"/>
  <c r="A5273" i="1"/>
  <c r="B5273" i="1"/>
  <c r="C5273" i="1"/>
  <c r="D5273" i="1"/>
  <c r="A5274" i="1"/>
  <c r="B5274" i="1"/>
  <c r="C5274" i="1"/>
  <c r="D5274" i="1"/>
  <c r="A5275" i="1"/>
  <c r="B5275" i="1"/>
  <c r="C5275" i="1"/>
  <c r="D5275" i="1"/>
  <c r="A5276" i="1"/>
  <c r="B5276" i="1"/>
  <c r="C5276" i="1"/>
  <c r="D5276" i="1"/>
  <c r="A5277" i="1"/>
  <c r="B5277" i="1"/>
  <c r="C5277" i="1"/>
  <c r="D5277" i="1"/>
  <c r="A5278" i="1"/>
  <c r="B5278" i="1"/>
  <c r="C5278" i="1"/>
  <c r="D5278" i="1"/>
  <c r="A5279" i="1"/>
  <c r="B5279" i="1"/>
  <c r="C5279" i="1"/>
  <c r="D5279" i="1"/>
  <c r="A5280" i="1"/>
  <c r="B5280" i="1"/>
  <c r="C5280" i="1"/>
  <c r="D5280" i="1"/>
  <c r="A5281" i="1"/>
  <c r="B5281" i="1"/>
  <c r="C5281" i="1"/>
  <c r="D5281" i="1"/>
  <c r="A5282" i="1"/>
  <c r="B5282" i="1"/>
  <c r="C5282" i="1"/>
  <c r="D5282" i="1"/>
  <c r="A5283" i="1"/>
  <c r="B5283" i="1"/>
  <c r="C5283" i="1"/>
  <c r="D5283" i="1"/>
  <c r="A5284" i="1"/>
  <c r="B5284" i="1"/>
  <c r="C5284" i="1"/>
  <c r="D5284" i="1"/>
  <c r="A5285" i="1"/>
  <c r="B5285" i="1"/>
  <c r="C5285" i="1"/>
  <c r="D5285" i="1"/>
  <c r="A5286" i="1"/>
  <c r="B5286" i="1"/>
  <c r="C5286" i="1"/>
  <c r="D5286" i="1"/>
  <c r="A5287" i="1"/>
  <c r="B5287" i="1"/>
  <c r="C5287" i="1"/>
  <c r="D5287" i="1"/>
  <c r="A5288" i="1"/>
  <c r="B5288" i="1"/>
  <c r="C5288" i="1"/>
  <c r="D5288" i="1"/>
  <c r="A5289" i="1"/>
  <c r="B5289" i="1"/>
  <c r="C5289" i="1"/>
  <c r="D5289" i="1"/>
  <c r="A5290" i="1"/>
  <c r="B5290" i="1"/>
  <c r="C5290" i="1"/>
  <c r="D5290" i="1"/>
  <c r="A5291" i="1"/>
  <c r="B5291" i="1"/>
  <c r="C5291" i="1"/>
  <c r="D5291" i="1"/>
  <c r="A5292" i="1"/>
  <c r="B5292" i="1"/>
  <c r="C5292" i="1"/>
  <c r="D5292" i="1"/>
  <c r="A5293" i="1"/>
  <c r="B5293" i="1"/>
  <c r="C5293" i="1"/>
  <c r="D5293" i="1"/>
  <c r="A5294" i="1"/>
  <c r="B5294" i="1"/>
  <c r="C5294" i="1"/>
  <c r="D5294" i="1"/>
  <c r="A5295" i="1"/>
  <c r="B5295" i="1"/>
  <c r="C5295" i="1"/>
  <c r="D5295" i="1"/>
  <c r="A5296" i="1"/>
  <c r="B5296" i="1"/>
  <c r="C5296" i="1"/>
  <c r="D5296" i="1"/>
  <c r="A5297" i="1"/>
  <c r="B5297" i="1"/>
  <c r="C5297" i="1"/>
  <c r="D5297" i="1"/>
  <c r="A5298" i="1"/>
  <c r="B5298" i="1"/>
  <c r="C5298" i="1"/>
  <c r="D5298" i="1"/>
  <c r="A5299" i="1"/>
  <c r="B5299" i="1"/>
  <c r="C5299" i="1"/>
  <c r="D5299" i="1"/>
  <c r="A5300" i="1"/>
  <c r="B5300" i="1"/>
  <c r="C5300" i="1"/>
  <c r="D5300" i="1"/>
  <c r="A5301" i="1"/>
  <c r="B5301" i="1"/>
  <c r="C5301" i="1"/>
  <c r="D5301" i="1"/>
  <c r="A5302" i="1"/>
  <c r="B5302" i="1"/>
  <c r="C5302" i="1"/>
  <c r="D5302" i="1"/>
  <c r="A5303" i="1"/>
  <c r="B5303" i="1"/>
  <c r="C5303" i="1"/>
  <c r="D5303" i="1"/>
  <c r="A5304" i="1"/>
  <c r="B5304" i="1"/>
  <c r="C5304" i="1"/>
  <c r="D5304" i="1"/>
  <c r="A5305" i="1"/>
  <c r="B5305" i="1"/>
  <c r="C5305" i="1"/>
  <c r="D5305" i="1"/>
  <c r="A5306" i="1"/>
  <c r="B5306" i="1"/>
  <c r="C5306" i="1"/>
  <c r="D5306" i="1"/>
  <c r="A5307" i="1"/>
  <c r="B5307" i="1"/>
  <c r="C5307" i="1"/>
  <c r="D5307" i="1"/>
  <c r="A5308" i="1"/>
  <c r="B5308" i="1"/>
  <c r="C5308" i="1"/>
  <c r="D5308" i="1"/>
  <c r="A5309" i="1"/>
  <c r="B5309" i="1"/>
  <c r="C5309" i="1"/>
  <c r="D5309" i="1"/>
  <c r="A5310" i="1"/>
  <c r="B5310" i="1"/>
  <c r="C5310" i="1"/>
  <c r="D5310" i="1"/>
  <c r="A5311" i="1"/>
  <c r="B5311" i="1"/>
  <c r="C5311" i="1"/>
  <c r="D5311" i="1"/>
  <c r="A5312" i="1"/>
  <c r="B5312" i="1"/>
  <c r="C5312" i="1"/>
  <c r="D5312" i="1"/>
  <c r="A5313" i="1"/>
  <c r="B5313" i="1"/>
  <c r="C5313" i="1"/>
  <c r="D5313" i="1"/>
  <c r="A5314" i="1"/>
  <c r="B5314" i="1"/>
  <c r="C5314" i="1"/>
  <c r="D5314" i="1"/>
  <c r="A5315" i="1"/>
  <c r="B5315" i="1"/>
  <c r="C5315" i="1"/>
  <c r="D5315" i="1"/>
  <c r="A5316" i="1"/>
  <c r="B5316" i="1"/>
  <c r="C5316" i="1"/>
  <c r="D5316" i="1"/>
  <c r="A5317" i="1"/>
  <c r="B5317" i="1"/>
  <c r="C5317" i="1"/>
  <c r="D5317" i="1"/>
  <c r="A5318" i="1"/>
  <c r="B5318" i="1"/>
  <c r="C5318" i="1"/>
  <c r="D5318" i="1"/>
  <c r="A5319" i="1"/>
  <c r="B5319" i="1"/>
  <c r="C5319" i="1"/>
  <c r="D5319" i="1"/>
  <c r="A5320" i="1"/>
  <c r="B5320" i="1"/>
  <c r="C5320" i="1"/>
  <c r="D5320" i="1"/>
  <c r="A5321" i="1"/>
  <c r="B5321" i="1"/>
  <c r="C5321" i="1"/>
  <c r="D5321" i="1"/>
  <c r="A5322" i="1"/>
  <c r="B5322" i="1"/>
  <c r="C5322" i="1"/>
  <c r="D5322" i="1"/>
  <c r="A5323" i="1"/>
  <c r="B5323" i="1"/>
  <c r="C5323" i="1"/>
  <c r="D5323" i="1"/>
  <c r="A5324" i="1"/>
  <c r="B5324" i="1"/>
  <c r="C5324" i="1"/>
  <c r="D5324" i="1"/>
  <c r="A5325" i="1"/>
  <c r="B5325" i="1"/>
  <c r="C5325" i="1"/>
  <c r="D5325" i="1"/>
  <c r="A5326" i="1"/>
  <c r="B5326" i="1"/>
  <c r="C5326" i="1"/>
  <c r="D5326" i="1"/>
  <c r="A5327" i="1"/>
  <c r="B5327" i="1"/>
  <c r="C5327" i="1"/>
  <c r="D5327" i="1"/>
  <c r="A5328" i="1"/>
  <c r="B5328" i="1"/>
  <c r="C5328" i="1"/>
  <c r="D5328" i="1"/>
  <c r="A5329" i="1"/>
  <c r="B5329" i="1"/>
  <c r="C5329" i="1"/>
  <c r="D5329" i="1"/>
  <c r="A5330" i="1"/>
  <c r="B5330" i="1"/>
  <c r="C5330" i="1"/>
  <c r="D5330" i="1"/>
  <c r="A5331" i="1"/>
  <c r="B5331" i="1"/>
  <c r="C5331" i="1"/>
  <c r="D5331" i="1"/>
  <c r="A5332" i="1"/>
  <c r="B5332" i="1"/>
  <c r="C5332" i="1"/>
  <c r="D5332" i="1"/>
  <c r="A5333" i="1"/>
  <c r="B5333" i="1"/>
  <c r="C5333" i="1"/>
  <c r="D5333" i="1"/>
  <c r="A5334" i="1"/>
  <c r="B5334" i="1"/>
  <c r="C5334" i="1"/>
  <c r="D5334" i="1"/>
  <c r="A5335" i="1"/>
  <c r="B5335" i="1"/>
  <c r="C5335" i="1"/>
  <c r="D5335" i="1"/>
  <c r="A5336" i="1"/>
  <c r="B5336" i="1"/>
  <c r="C5336" i="1"/>
  <c r="D5336" i="1"/>
  <c r="A5337" i="1"/>
  <c r="B5337" i="1"/>
  <c r="C5337" i="1"/>
  <c r="D5337" i="1"/>
  <c r="A5338" i="1"/>
  <c r="B5338" i="1"/>
  <c r="C5338" i="1"/>
  <c r="D5338" i="1"/>
  <c r="A5339" i="1"/>
  <c r="B5339" i="1"/>
  <c r="C5339" i="1"/>
  <c r="D5339" i="1"/>
  <c r="A5340" i="1"/>
  <c r="B5340" i="1"/>
  <c r="C5340" i="1"/>
  <c r="D5340" i="1"/>
  <c r="A5341" i="1"/>
  <c r="B5341" i="1"/>
  <c r="C5341" i="1"/>
  <c r="D5341" i="1"/>
  <c r="A5342" i="1"/>
  <c r="B5342" i="1"/>
  <c r="C5342" i="1"/>
  <c r="D5342" i="1"/>
  <c r="A5343" i="1"/>
  <c r="B5343" i="1"/>
  <c r="C5343" i="1"/>
  <c r="D5343" i="1"/>
  <c r="A5344" i="1"/>
  <c r="B5344" i="1"/>
  <c r="C5344" i="1"/>
  <c r="D5344" i="1"/>
  <c r="A5345" i="1"/>
  <c r="B5345" i="1"/>
  <c r="C5345" i="1"/>
  <c r="D5345" i="1"/>
  <c r="A5346" i="1"/>
  <c r="B5346" i="1"/>
  <c r="C5346" i="1"/>
  <c r="D5346" i="1"/>
  <c r="A5347" i="1"/>
  <c r="B5347" i="1"/>
  <c r="C5347" i="1"/>
  <c r="D5347" i="1"/>
  <c r="A5348" i="1"/>
  <c r="B5348" i="1"/>
  <c r="C5348" i="1"/>
  <c r="D5348" i="1"/>
  <c r="A5349" i="1"/>
  <c r="B5349" i="1"/>
  <c r="C5349" i="1"/>
  <c r="D5349" i="1"/>
  <c r="A5350" i="1"/>
  <c r="B5350" i="1"/>
  <c r="C5350" i="1"/>
  <c r="D5350" i="1"/>
  <c r="A5351" i="1"/>
  <c r="B5351" i="1"/>
  <c r="C5351" i="1"/>
  <c r="D5351" i="1"/>
  <c r="A5352" i="1"/>
  <c r="B5352" i="1"/>
  <c r="C5352" i="1"/>
  <c r="D5352" i="1"/>
  <c r="A5353" i="1"/>
  <c r="B5353" i="1"/>
  <c r="C5353" i="1"/>
  <c r="D5353" i="1"/>
  <c r="A5354" i="1"/>
  <c r="B5354" i="1"/>
  <c r="C5354" i="1"/>
  <c r="D5354" i="1"/>
  <c r="A5355" i="1"/>
  <c r="B5355" i="1"/>
  <c r="C5355" i="1"/>
  <c r="D5355" i="1"/>
  <c r="A5356" i="1"/>
  <c r="B5356" i="1"/>
  <c r="C5356" i="1"/>
  <c r="D5356" i="1"/>
  <c r="A5357" i="1"/>
  <c r="B5357" i="1"/>
  <c r="C5357" i="1"/>
  <c r="D5357" i="1"/>
  <c r="A5358" i="1"/>
  <c r="B5358" i="1"/>
  <c r="C5358" i="1"/>
  <c r="D5358" i="1"/>
  <c r="A5359" i="1"/>
  <c r="B5359" i="1"/>
  <c r="C5359" i="1"/>
  <c r="D5359" i="1"/>
  <c r="A5360" i="1"/>
  <c r="B5360" i="1"/>
  <c r="C5360" i="1"/>
  <c r="D5360" i="1"/>
  <c r="A5361" i="1"/>
  <c r="B5361" i="1"/>
  <c r="C5361" i="1"/>
  <c r="D5361" i="1"/>
  <c r="A5362" i="1"/>
  <c r="B5362" i="1"/>
  <c r="C5362" i="1"/>
  <c r="D5362" i="1"/>
  <c r="A5363" i="1"/>
  <c r="B5363" i="1"/>
  <c r="C5363" i="1"/>
  <c r="D5363" i="1"/>
  <c r="A5364" i="1"/>
  <c r="B5364" i="1"/>
  <c r="C5364" i="1"/>
  <c r="D5364" i="1"/>
  <c r="A5365" i="1"/>
  <c r="B5365" i="1"/>
  <c r="C5365" i="1"/>
  <c r="D5365" i="1"/>
  <c r="A5366" i="1"/>
  <c r="B5366" i="1"/>
  <c r="C5366" i="1"/>
  <c r="D5366" i="1"/>
  <c r="A5367" i="1"/>
  <c r="B5367" i="1"/>
  <c r="C5367" i="1"/>
  <c r="D5367" i="1"/>
  <c r="A5368" i="1"/>
  <c r="B5368" i="1"/>
  <c r="C5368" i="1"/>
  <c r="D5368" i="1"/>
  <c r="A5369" i="1"/>
  <c r="B5369" i="1"/>
  <c r="C5369" i="1"/>
  <c r="D5369" i="1"/>
  <c r="A5370" i="1"/>
  <c r="B5370" i="1"/>
  <c r="C5370" i="1"/>
  <c r="D5370" i="1"/>
  <c r="A5371" i="1"/>
  <c r="B5371" i="1"/>
  <c r="C5371" i="1"/>
  <c r="D5371" i="1"/>
  <c r="A5372" i="1"/>
  <c r="B5372" i="1"/>
  <c r="C5372" i="1"/>
  <c r="D5372" i="1"/>
  <c r="A5373" i="1"/>
  <c r="B5373" i="1"/>
  <c r="C5373" i="1"/>
  <c r="D5373" i="1"/>
  <c r="A5374" i="1"/>
  <c r="B5374" i="1"/>
  <c r="C5374" i="1"/>
  <c r="D5374" i="1"/>
  <c r="A5375" i="1"/>
  <c r="B5375" i="1"/>
  <c r="C5375" i="1"/>
  <c r="D5375" i="1"/>
  <c r="A5376" i="1"/>
  <c r="B5376" i="1"/>
  <c r="C5376" i="1"/>
  <c r="D5376" i="1"/>
  <c r="A5377" i="1"/>
  <c r="B5377" i="1"/>
  <c r="C5377" i="1"/>
  <c r="D5377" i="1"/>
  <c r="A5378" i="1"/>
  <c r="B5378" i="1"/>
  <c r="C5378" i="1"/>
  <c r="D5378" i="1"/>
  <c r="A5379" i="1"/>
  <c r="B5379" i="1"/>
  <c r="C5379" i="1"/>
  <c r="D5379" i="1"/>
  <c r="A5380" i="1"/>
  <c r="B5380" i="1"/>
  <c r="C5380" i="1"/>
  <c r="D5380" i="1"/>
  <c r="A5381" i="1"/>
  <c r="B5381" i="1"/>
  <c r="C5381" i="1"/>
  <c r="D5381" i="1"/>
  <c r="A5382" i="1"/>
  <c r="B5382" i="1"/>
  <c r="C5382" i="1"/>
  <c r="D5382" i="1"/>
  <c r="A5383" i="1"/>
  <c r="B5383" i="1"/>
  <c r="C5383" i="1"/>
  <c r="D5383" i="1"/>
  <c r="A5384" i="1"/>
  <c r="B5384" i="1"/>
  <c r="C5384" i="1"/>
  <c r="D5384" i="1"/>
  <c r="A5385" i="1"/>
  <c r="B5385" i="1"/>
  <c r="C5385" i="1"/>
  <c r="D538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85"/>
  <sheetViews>
    <sheetView tabSelected="1" workbookViewId="0"/>
  </sheetViews>
  <sheetFormatPr defaultRowHeight="15" x14ac:dyDescent="0.25"/>
  <cols>
    <col min="1" max="1" width="6" style="1" bestFit="1" customWidth="1"/>
    <col min="2" max="2" width="8.5703125" style="1" bestFit="1" customWidth="1"/>
    <col min="3" max="3" width="27.140625" style="1" bestFit="1" customWidth="1"/>
    <col min="4" max="4" width="19" style="1" bestFit="1" customWidth="1"/>
    <col min="5" max="8" width="12" style="2" bestFit="1" customWidth="1"/>
  </cols>
  <sheetData>
    <row r="1" spans="1:8" x14ac:dyDescent="0.25">
      <c r="A1" s="1" t="str">
        <f>"zip"</f>
        <v>zip</v>
      </c>
      <c r="B1" s="1" t="str">
        <f>"cbsa_div"</f>
        <v>cbsa_div</v>
      </c>
      <c r="C1" s="1" t="str">
        <f>"usps_zip_pref_city"</f>
        <v>usps_zip_pref_city</v>
      </c>
      <c r="D1" s="1" t="str">
        <f>"usps_zip_pref_state"</f>
        <v>usps_zip_pref_state</v>
      </c>
      <c r="E1" s="2" t="str">
        <f>"res_ratio"</f>
        <v>res_ratio</v>
      </c>
      <c r="F1" s="2" t="str">
        <f>"bus_ratio"</f>
        <v>bus_ratio</v>
      </c>
      <c r="G1" s="2" t="str">
        <f>"oth_ratio"</f>
        <v>oth_ratio</v>
      </c>
      <c r="H1" s="2" t="str">
        <f>"tot_ratio"</f>
        <v>tot_ratio</v>
      </c>
    </row>
    <row r="2" spans="1:8" x14ac:dyDescent="0.25">
      <c r="A2" s="1" t="str">
        <f>"01469"</f>
        <v>01469</v>
      </c>
      <c r="B2" s="1" t="str">
        <f>"15764"</f>
        <v>15764</v>
      </c>
      <c r="C2" s="1" t="str">
        <f>"TOWNSEND"</f>
        <v>TOWNSEND</v>
      </c>
      <c r="D2" s="1" t="str">
        <f>"MA"</f>
        <v>MA</v>
      </c>
      <c r="E2" s="2">
        <v>1</v>
      </c>
      <c r="F2" s="2">
        <v>1</v>
      </c>
      <c r="G2" s="2">
        <v>1</v>
      </c>
      <c r="H2" s="2">
        <v>1</v>
      </c>
    </row>
    <row r="3" spans="1:8" x14ac:dyDescent="0.25">
      <c r="A3" s="1" t="str">
        <f>"02120"</f>
        <v>02120</v>
      </c>
      <c r="B3" s="1" t="str">
        <f>"14454"</f>
        <v>14454</v>
      </c>
      <c r="C3" s="1" t="str">
        <f>"ROXBURY CROSSING"</f>
        <v>ROXBURY CROSSING</v>
      </c>
      <c r="D3" s="1" t="str">
        <f>"MA"</f>
        <v>MA</v>
      </c>
      <c r="E3" s="2">
        <v>1</v>
      </c>
      <c r="F3" s="2">
        <v>1</v>
      </c>
      <c r="G3" s="2">
        <v>1</v>
      </c>
      <c r="H3" s="2">
        <v>1</v>
      </c>
    </row>
    <row r="4" spans="1:8" x14ac:dyDescent="0.25">
      <c r="A4" s="1" t="str">
        <f>"02128"</f>
        <v>02128</v>
      </c>
      <c r="B4" s="1" t="str">
        <f>"14454"</f>
        <v>14454</v>
      </c>
      <c r="C4" s="1" t="str">
        <f>"EAST BOSTON"</f>
        <v>EAST BOSTON</v>
      </c>
      <c r="D4" s="1" t="str">
        <f>"MA"</f>
        <v>MA</v>
      </c>
      <c r="E4" s="2">
        <v>1</v>
      </c>
      <c r="F4" s="2">
        <v>1</v>
      </c>
      <c r="G4" s="2">
        <v>1</v>
      </c>
      <c r="H4" s="2">
        <v>1</v>
      </c>
    </row>
    <row r="5" spans="1:8" x14ac:dyDescent="0.25">
      <c r="A5" s="1" t="str">
        <f>"02199"</f>
        <v>02199</v>
      </c>
      <c r="B5" s="1" t="str">
        <f>"14454"</f>
        <v>14454</v>
      </c>
      <c r="C5" s="1" t="str">
        <f>"BOSTON"</f>
        <v>BOSTON</v>
      </c>
      <c r="D5" s="1" t="str">
        <f>"MA"</f>
        <v>MA</v>
      </c>
      <c r="E5" s="2">
        <v>1</v>
      </c>
      <c r="F5" s="2">
        <v>1</v>
      </c>
      <c r="G5" s="2">
        <v>1</v>
      </c>
      <c r="H5" s="2">
        <v>1</v>
      </c>
    </row>
    <row r="6" spans="1:8" x14ac:dyDescent="0.25">
      <c r="A6" s="1" t="str">
        <f>"02739"</f>
        <v>02739</v>
      </c>
      <c r="B6" s="1" t="str">
        <f>"14454"</f>
        <v>14454</v>
      </c>
      <c r="C6" s="1" t="str">
        <f>"MATTAPOISETT"</f>
        <v>MATTAPOISETT</v>
      </c>
      <c r="D6" s="1" t="str">
        <f>"MA"</f>
        <v>MA</v>
      </c>
      <c r="E6" s="2">
        <v>1</v>
      </c>
      <c r="F6" s="2">
        <v>1</v>
      </c>
      <c r="G6" s="2">
        <v>1</v>
      </c>
      <c r="H6" s="2">
        <v>1</v>
      </c>
    </row>
    <row r="7" spans="1:8" x14ac:dyDescent="0.25">
      <c r="A7" s="1" t="str">
        <f>"03884"</f>
        <v>03884</v>
      </c>
      <c r="B7" s="1" t="str">
        <f>"40484"</f>
        <v>40484</v>
      </c>
      <c r="C7" s="1" t="str">
        <f>"STRAFFORD"</f>
        <v>STRAFFORD</v>
      </c>
      <c r="D7" s="1" t="str">
        <f>"NH"</f>
        <v>NH</v>
      </c>
      <c r="E7" s="2">
        <v>1</v>
      </c>
      <c r="F7" s="2">
        <v>1</v>
      </c>
      <c r="G7" s="2">
        <v>1</v>
      </c>
      <c r="H7" s="2">
        <v>1</v>
      </c>
    </row>
    <row r="8" spans="1:8" x14ac:dyDescent="0.25">
      <c r="A8" s="1" t="str">
        <f>"07010"</f>
        <v>07010</v>
      </c>
      <c r="B8" s="1" t="str">
        <f>"35614"</f>
        <v>35614</v>
      </c>
      <c r="C8" s="1" t="str">
        <f>"CLIFFSIDE PARK"</f>
        <v>CLIFFSIDE PARK</v>
      </c>
      <c r="D8" s="1" t="str">
        <f t="shared" ref="D8:D22" si="0">"NJ"</f>
        <v>NJ</v>
      </c>
      <c r="E8" s="2">
        <v>1</v>
      </c>
      <c r="F8" s="2">
        <v>1</v>
      </c>
      <c r="G8" s="2">
        <v>1</v>
      </c>
      <c r="H8" s="2">
        <v>1</v>
      </c>
    </row>
    <row r="9" spans="1:8" x14ac:dyDescent="0.25">
      <c r="A9" s="1" t="str">
        <f>"07051"</f>
        <v>07051</v>
      </c>
      <c r="B9" s="1" t="str">
        <f>"35084"</f>
        <v>35084</v>
      </c>
      <c r="C9" s="1" t="str">
        <f>"ORANGE"</f>
        <v>ORANGE</v>
      </c>
      <c r="D9" s="1" t="str">
        <f t="shared" si="0"/>
        <v>NJ</v>
      </c>
      <c r="E9" s="2">
        <v>1</v>
      </c>
      <c r="F9" s="2">
        <v>1</v>
      </c>
      <c r="G9" s="2">
        <v>1</v>
      </c>
      <c r="H9" s="2">
        <v>1</v>
      </c>
    </row>
    <row r="10" spans="1:8" x14ac:dyDescent="0.25">
      <c r="A10" s="1" t="str">
        <f>"07110"</f>
        <v>07110</v>
      </c>
      <c r="B10" s="1" t="str">
        <f>"35614"</f>
        <v>35614</v>
      </c>
      <c r="C10" s="1" t="str">
        <f>"NUTLEY"</f>
        <v>NUTLEY</v>
      </c>
      <c r="D10" s="1" t="str">
        <f t="shared" si="0"/>
        <v>NJ</v>
      </c>
      <c r="E10" s="2">
        <v>4.0718562874251397E-3</v>
      </c>
      <c r="F10" s="2">
        <v>0</v>
      </c>
      <c r="G10" s="2">
        <v>0</v>
      </c>
      <c r="H10" s="2">
        <v>3.4850348503485001E-3</v>
      </c>
    </row>
    <row r="11" spans="1:8" x14ac:dyDescent="0.25">
      <c r="A11" s="1" t="str">
        <f>"07110"</f>
        <v>07110</v>
      </c>
      <c r="B11" s="1" t="str">
        <f>"35084"</f>
        <v>35084</v>
      </c>
      <c r="C11" s="1" t="str">
        <f>"NUTLEY"</f>
        <v>NUTLEY</v>
      </c>
      <c r="D11" s="1" t="str">
        <f t="shared" si="0"/>
        <v>NJ</v>
      </c>
      <c r="E11" s="2">
        <v>0.99592814371257399</v>
      </c>
      <c r="F11" s="2">
        <v>1</v>
      </c>
      <c r="G11" s="2">
        <v>1</v>
      </c>
      <c r="H11" s="2">
        <v>0.99651496514965099</v>
      </c>
    </row>
    <row r="12" spans="1:8" x14ac:dyDescent="0.25">
      <c r="A12" s="1" t="str">
        <f>"07462"</f>
        <v>07462</v>
      </c>
      <c r="B12" s="1" t="str">
        <f>"35084"</f>
        <v>35084</v>
      </c>
      <c r="C12" s="1" t="str">
        <f>"VERNON"</f>
        <v>VERNON</v>
      </c>
      <c r="D12" s="1" t="str">
        <f t="shared" si="0"/>
        <v>NJ</v>
      </c>
      <c r="E12" s="2">
        <v>1</v>
      </c>
      <c r="F12" s="2">
        <v>1</v>
      </c>
      <c r="G12" s="2">
        <v>1</v>
      </c>
      <c r="H12" s="2">
        <v>1</v>
      </c>
    </row>
    <row r="13" spans="1:8" x14ac:dyDescent="0.25">
      <c r="A13" s="1" t="str">
        <f>"07645"</f>
        <v>07645</v>
      </c>
      <c r="B13" s="1" t="str">
        <f>"35614"</f>
        <v>35614</v>
      </c>
      <c r="C13" s="1" t="str">
        <f>"MONTVALE"</f>
        <v>MONTVALE</v>
      </c>
      <c r="D13" s="1" t="str">
        <f t="shared" si="0"/>
        <v>NJ</v>
      </c>
      <c r="E13" s="2">
        <v>1</v>
      </c>
      <c r="F13" s="2">
        <v>1</v>
      </c>
      <c r="G13" s="2">
        <v>1</v>
      </c>
      <c r="H13" s="2">
        <v>1</v>
      </c>
    </row>
    <row r="14" spans="1:8" x14ac:dyDescent="0.25">
      <c r="A14" s="1" t="str">
        <f>"07607"</f>
        <v>07607</v>
      </c>
      <c r="B14" s="1" t="str">
        <f>"35614"</f>
        <v>35614</v>
      </c>
      <c r="C14" s="1" t="str">
        <f>"MAYWOOD"</f>
        <v>MAYWOOD</v>
      </c>
      <c r="D14" s="1" t="str">
        <f t="shared" si="0"/>
        <v>NJ</v>
      </c>
      <c r="E14" s="2">
        <v>1</v>
      </c>
      <c r="F14" s="2">
        <v>1</v>
      </c>
      <c r="G14" s="2">
        <v>1</v>
      </c>
      <c r="H14" s="2">
        <v>1</v>
      </c>
    </row>
    <row r="15" spans="1:8" x14ac:dyDescent="0.25">
      <c r="A15" s="1" t="str">
        <f>"07727"</f>
        <v>07727</v>
      </c>
      <c r="B15" s="1" t="str">
        <f>"35154"</f>
        <v>35154</v>
      </c>
      <c r="C15" s="1" t="str">
        <f>"FARMINGDALE"</f>
        <v>FARMINGDALE</v>
      </c>
      <c r="D15" s="1" t="str">
        <f t="shared" si="0"/>
        <v>NJ</v>
      </c>
      <c r="E15" s="2">
        <v>1</v>
      </c>
      <c r="F15" s="2">
        <v>1</v>
      </c>
      <c r="G15" s="2">
        <v>1</v>
      </c>
      <c r="H15" s="2">
        <v>1</v>
      </c>
    </row>
    <row r="16" spans="1:8" x14ac:dyDescent="0.25">
      <c r="A16" s="1" t="str">
        <f>"07758"</f>
        <v>07758</v>
      </c>
      <c r="B16" s="1" t="str">
        <f>"35154"</f>
        <v>35154</v>
      </c>
      <c r="C16" s="1" t="str">
        <f>"PORT MONMOUTH"</f>
        <v>PORT MONMOUTH</v>
      </c>
      <c r="D16" s="1" t="str">
        <f t="shared" si="0"/>
        <v>NJ</v>
      </c>
      <c r="E16" s="2">
        <v>1</v>
      </c>
      <c r="F16" s="2">
        <v>1</v>
      </c>
      <c r="G16" s="2">
        <v>1</v>
      </c>
      <c r="H16" s="2">
        <v>1</v>
      </c>
    </row>
    <row r="17" spans="1:8" x14ac:dyDescent="0.25">
      <c r="A17" s="1" t="str">
        <f>"07849"</f>
        <v>07849</v>
      </c>
      <c r="B17" s="1" t="str">
        <f>"35084"</f>
        <v>35084</v>
      </c>
      <c r="C17" s="1" t="str">
        <f>"LAKE HOPATCONG"</f>
        <v>LAKE HOPATCONG</v>
      </c>
      <c r="D17" s="1" t="str">
        <f t="shared" si="0"/>
        <v>NJ</v>
      </c>
      <c r="E17" s="2">
        <v>1</v>
      </c>
      <c r="F17" s="2">
        <v>1</v>
      </c>
      <c r="G17" s="2">
        <v>1</v>
      </c>
      <c r="H17" s="2">
        <v>1</v>
      </c>
    </row>
    <row r="18" spans="1:8" x14ac:dyDescent="0.25">
      <c r="A18" s="1" t="str">
        <f>"08046"</f>
        <v>08046</v>
      </c>
      <c r="B18" s="1" t="str">
        <f>"15804"</f>
        <v>15804</v>
      </c>
      <c r="C18" s="1" t="str">
        <f>"WILLINGBORO"</f>
        <v>WILLINGBORO</v>
      </c>
      <c r="D18" s="1" t="str">
        <f t="shared" si="0"/>
        <v>NJ</v>
      </c>
      <c r="E18" s="2">
        <v>1</v>
      </c>
      <c r="F18" s="2">
        <v>1</v>
      </c>
      <c r="G18" s="2">
        <v>1</v>
      </c>
      <c r="H18" s="2">
        <v>1</v>
      </c>
    </row>
    <row r="19" spans="1:8" x14ac:dyDescent="0.25">
      <c r="A19" s="1" t="str">
        <f>"08559"</f>
        <v>08559</v>
      </c>
      <c r="B19" s="1" t="str">
        <f>"35084"</f>
        <v>35084</v>
      </c>
      <c r="C19" s="1" t="str">
        <f>"STOCKTON"</f>
        <v>STOCKTON</v>
      </c>
      <c r="D19" s="1" t="str">
        <f t="shared" si="0"/>
        <v>NJ</v>
      </c>
      <c r="E19" s="2">
        <v>1</v>
      </c>
      <c r="F19" s="2">
        <v>1</v>
      </c>
      <c r="G19" s="2">
        <v>1</v>
      </c>
      <c r="H19" s="2">
        <v>1</v>
      </c>
    </row>
    <row r="20" spans="1:8" x14ac:dyDescent="0.25">
      <c r="A20" s="1" t="str">
        <f>"08820"</f>
        <v>08820</v>
      </c>
      <c r="B20" s="1" t="str">
        <f>"35084"</f>
        <v>35084</v>
      </c>
      <c r="C20" s="1" t="str">
        <f>"EDISON"</f>
        <v>EDISON</v>
      </c>
      <c r="D20" s="1" t="str">
        <f t="shared" si="0"/>
        <v>NJ</v>
      </c>
      <c r="E20" s="2">
        <v>2.3973846712677001E-3</v>
      </c>
      <c r="F20" s="2">
        <v>0</v>
      </c>
      <c r="G20" s="2">
        <v>0</v>
      </c>
      <c r="H20" s="2">
        <v>2.1871686108165399E-3</v>
      </c>
    </row>
    <row r="21" spans="1:8" x14ac:dyDescent="0.25">
      <c r="A21" s="1" t="str">
        <f>"08820"</f>
        <v>08820</v>
      </c>
      <c r="B21" s="1" t="str">
        <f>"35154"</f>
        <v>35154</v>
      </c>
      <c r="C21" s="1" t="str">
        <f>"EDISON"</f>
        <v>EDISON</v>
      </c>
      <c r="D21" s="1" t="str">
        <f t="shared" si="0"/>
        <v>NJ</v>
      </c>
      <c r="E21" s="2">
        <v>0.99760261532873196</v>
      </c>
      <c r="F21" s="2">
        <v>1</v>
      </c>
      <c r="G21" s="2">
        <v>1</v>
      </c>
      <c r="H21" s="2">
        <v>0.99781283138918297</v>
      </c>
    </row>
    <row r="22" spans="1:8" x14ac:dyDescent="0.25">
      <c r="A22" s="1" t="str">
        <f>"08880"</f>
        <v>08880</v>
      </c>
      <c r="B22" s="1" t="str">
        <f>"35154"</f>
        <v>35154</v>
      </c>
      <c r="C22" s="1" t="str">
        <f>"SOUTH BOUND BROOK"</f>
        <v>SOUTH BOUND BROOK</v>
      </c>
      <c r="D22" s="1" t="str">
        <f t="shared" si="0"/>
        <v>NJ</v>
      </c>
      <c r="E22" s="2">
        <v>1</v>
      </c>
      <c r="F22" s="2">
        <v>1</v>
      </c>
      <c r="G22" s="2">
        <v>1</v>
      </c>
      <c r="H22" s="2">
        <v>1</v>
      </c>
    </row>
    <row r="23" spans="1:8" x14ac:dyDescent="0.25">
      <c r="A23" s="1" t="str">
        <f>"10005"</f>
        <v>10005</v>
      </c>
      <c r="B23" s="1" t="str">
        <f t="shared" ref="B23:B30" si="1">"35614"</f>
        <v>35614</v>
      </c>
      <c r="C23" s="1" t="str">
        <f>"NEW YORK"</f>
        <v>NEW YORK</v>
      </c>
      <c r="D23" s="1" t="str">
        <f t="shared" ref="D23:D36" si="2">"NY"</f>
        <v>NY</v>
      </c>
      <c r="E23" s="2">
        <v>1</v>
      </c>
      <c r="F23" s="2">
        <v>1</v>
      </c>
      <c r="G23" s="2">
        <v>1</v>
      </c>
      <c r="H23" s="2">
        <v>1</v>
      </c>
    </row>
    <row r="24" spans="1:8" x14ac:dyDescent="0.25">
      <c r="A24" s="1" t="str">
        <f>"10004"</f>
        <v>10004</v>
      </c>
      <c r="B24" s="1" t="str">
        <f t="shared" si="1"/>
        <v>35614</v>
      </c>
      <c r="C24" s="1" t="str">
        <f>"NEW YORK"</f>
        <v>NEW YORK</v>
      </c>
      <c r="D24" s="1" t="str">
        <f t="shared" si="2"/>
        <v>NY</v>
      </c>
      <c r="E24" s="2">
        <v>1</v>
      </c>
      <c r="F24" s="2">
        <v>1</v>
      </c>
      <c r="G24" s="2">
        <v>1</v>
      </c>
      <c r="H24" s="2">
        <v>1</v>
      </c>
    </row>
    <row r="25" spans="1:8" x14ac:dyDescent="0.25">
      <c r="A25" s="1" t="str">
        <f>"10038"</f>
        <v>10038</v>
      </c>
      <c r="B25" s="1" t="str">
        <f t="shared" si="1"/>
        <v>35614</v>
      </c>
      <c r="C25" s="1" t="str">
        <f>"NEW YORK"</f>
        <v>NEW YORK</v>
      </c>
      <c r="D25" s="1" t="str">
        <f t="shared" si="2"/>
        <v>NY</v>
      </c>
      <c r="E25" s="2">
        <v>1</v>
      </c>
      <c r="F25" s="2">
        <v>1</v>
      </c>
      <c r="G25" s="2">
        <v>1</v>
      </c>
      <c r="H25" s="2">
        <v>1</v>
      </c>
    </row>
    <row r="26" spans="1:8" x14ac:dyDescent="0.25">
      <c r="A26" s="1" t="str">
        <f>"10101"</f>
        <v>10101</v>
      </c>
      <c r="B26" s="1" t="str">
        <f t="shared" si="1"/>
        <v>35614</v>
      </c>
      <c r="C26" s="1" t="str">
        <f>"NEW YORK"</f>
        <v>NEW YORK</v>
      </c>
      <c r="D26" s="1" t="str">
        <f t="shared" si="2"/>
        <v>NY</v>
      </c>
      <c r="E26" s="2">
        <v>1</v>
      </c>
      <c r="F26" s="2">
        <v>1</v>
      </c>
      <c r="G26" s="2">
        <v>1</v>
      </c>
      <c r="H26" s="2">
        <v>1</v>
      </c>
    </row>
    <row r="27" spans="1:8" x14ac:dyDescent="0.25">
      <c r="A27" s="1" t="str">
        <f>"11210"</f>
        <v>11210</v>
      </c>
      <c r="B27" s="1" t="str">
        <f t="shared" si="1"/>
        <v>35614</v>
      </c>
      <c r="C27" s="1" t="str">
        <f>"BROOKLYN"</f>
        <v>BROOKLYN</v>
      </c>
      <c r="D27" s="1" t="str">
        <f t="shared" si="2"/>
        <v>NY</v>
      </c>
      <c r="E27" s="2">
        <v>1</v>
      </c>
      <c r="F27" s="2">
        <v>1</v>
      </c>
      <c r="G27" s="2">
        <v>1</v>
      </c>
      <c r="H27" s="2">
        <v>1</v>
      </c>
    </row>
    <row r="28" spans="1:8" x14ac:dyDescent="0.25">
      <c r="A28" s="1" t="str">
        <f>"11354"</f>
        <v>11354</v>
      </c>
      <c r="B28" s="1" t="str">
        <f t="shared" si="1"/>
        <v>35614</v>
      </c>
      <c r="C28" s="1" t="str">
        <f>"FLUSHING"</f>
        <v>FLUSHING</v>
      </c>
      <c r="D28" s="1" t="str">
        <f t="shared" si="2"/>
        <v>NY</v>
      </c>
      <c r="E28" s="2">
        <v>1</v>
      </c>
      <c r="F28" s="2">
        <v>1</v>
      </c>
      <c r="G28" s="2">
        <v>1</v>
      </c>
      <c r="H28" s="2">
        <v>1</v>
      </c>
    </row>
    <row r="29" spans="1:8" x14ac:dyDescent="0.25">
      <c r="A29" s="1" t="str">
        <f>"11358"</f>
        <v>11358</v>
      </c>
      <c r="B29" s="1" t="str">
        <f t="shared" si="1"/>
        <v>35614</v>
      </c>
      <c r="C29" s="1" t="str">
        <f>"FLUSHING"</f>
        <v>FLUSHING</v>
      </c>
      <c r="D29" s="1" t="str">
        <f t="shared" si="2"/>
        <v>NY</v>
      </c>
      <c r="E29" s="2">
        <v>1</v>
      </c>
      <c r="F29" s="2">
        <v>1</v>
      </c>
      <c r="G29" s="2">
        <v>1</v>
      </c>
      <c r="H29" s="2">
        <v>1</v>
      </c>
    </row>
    <row r="30" spans="1:8" x14ac:dyDescent="0.25">
      <c r="A30" s="1" t="str">
        <f>"11375"</f>
        <v>11375</v>
      </c>
      <c r="B30" s="1" t="str">
        <f t="shared" si="1"/>
        <v>35614</v>
      </c>
      <c r="C30" s="1" t="str">
        <f>"FOREST HILLS"</f>
        <v>FOREST HILLS</v>
      </c>
      <c r="D30" s="1" t="str">
        <f t="shared" si="2"/>
        <v>NY</v>
      </c>
      <c r="E30" s="2">
        <v>1</v>
      </c>
      <c r="F30" s="2">
        <v>1</v>
      </c>
      <c r="G30" s="2">
        <v>1</v>
      </c>
      <c r="H30" s="2">
        <v>1</v>
      </c>
    </row>
    <row r="31" spans="1:8" x14ac:dyDescent="0.25">
      <c r="A31" s="1" t="str">
        <f>"11553"</f>
        <v>11553</v>
      </c>
      <c r="B31" s="1" t="str">
        <f>"35004"</f>
        <v>35004</v>
      </c>
      <c r="C31" s="1" t="str">
        <f>"UNIONDALE"</f>
        <v>UNIONDALE</v>
      </c>
      <c r="D31" s="1" t="str">
        <f t="shared" si="2"/>
        <v>NY</v>
      </c>
      <c r="E31" s="2">
        <v>1</v>
      </c>
      <c r="F31" s="2">
        <v>1</v>
      </c>
      <c r="G31" s="2">
        <v>1</v>
      </c>
      <c r="H31" s="2">
        <v>1</v>
      </c>
    </row>
    <row r="32" spans="1:8" x14ac:dyDescent="0.25">
      <c r="A32" s="1" t="str">
        <f>"11716"</f>
        <v>11716</v>
      </c>
      <c r="B32" s="1" t="str">
        <f>"35004"</f>
        <v>35004</v>
      </c>
      <c r="C32" s="1" t="str">
        <f>"BOHEMIA"</f>
        <v>BOHEMIA</v>
      </c>
      <c r="D32" s="1" t="str">
        <f t="shared" si="2"/>
        <v>NY</v>
      </c>
      <c r="E32" s="2">
        <v>1</v>
      </c>
      <c r="F32" s="2">
        <v>1</v>
      </c>
      <c r="G32" s="2">
        <v>1</v>
      </c>
      <c r="H32" s="2">
        <v>1</v>
      </c>
    </row>
    <row r="33" spans="1:8" x14ac:dyDescent="0.25">
      <c r="A33" s="1" t="str">
        <f>"11756"</f>
        <v>11756</v>
      </c>
      <c r="B33" s="1" t="str">
        <f>"35004"</f>
        <v>35004</v>
      </c>
      <c r="C33" s="1" t="str">
        <f>"LEVITTOWN"</f>
        <v>LEVITTOWN</v>
      </c>
      <c r="D33" s="1" t="str">
        <f t="shared" si="2"/>
        <v>NY</v>
      </c>
      <c r="E33" s="2">
        <v>1</v>
      </c>
      <c r="F33" s="2">
        <v>1</v>
      </c>
      <c r="G33" s="2">
        <v>1</v>
      </c>
      <c r="H33" s="2">
        <v>1</v>
      </c>
    </row>
    <row r="34" spans="1:8" x14ac:dyDescent="0.25">
      <c r="A34" s="1" t="str">
        <f>"11950"</f>
        <v>11950</v>
      </c>
      <c r="B34" s="1" t="str">
        <f>"35004"</f>
        <v>35004</v>
      </c>
      <c r="C34" s="1" t="str">
        <f>"MASTIC"</f>
        <v>MASTIC</v>
      </c>
      <c r="D34" s="1" t="str">
        <f t="shared" si="2"/>
        <v>NY</v>
      </c>
      <c r="E34" s="2">
        <v>1</v>
      </c>
      <c r="F34" s="2">
        <v>1</v>
      </c>
      <c r="G34" s="2">
        <v>1</v>
      </c>
      <c r="H34" s="2">
        <v>1</v>
      </c>
    </row>
    <row r="35" spans="1:8" x14ac:dyDescent="0.25">
      <c r="A35" s="1" t="str">
        <f>"10595"</f>
        <v>10595</v>
      </c>
      <c r="B35" s="1" t="str">
        <f>"35614"</f>
        <v>35614</v>
      </c>
      <c r="C35" s="1" t="str">
        <f>"VALHALLA"</f>
        <v>VALHALLA</v>
      </c>
      <c r="D35" s="1" t="str">
        <f t="shared" si="2"/>
        <v>NY</v>
      </c>
      <c r="E35" s="2">
        <v>1</v>
      </c>
      <c r="F35" s="2">
        <v>1</v>
      </c>
      <c r="G35" s="2">
        <v>1</v>
      </c>
      <c r="H35" s="2">
        <v>1</v>
      </c>
    </row>
    <row r="36" spans="1:8" x14ac:dyDescent="0.25">
      <c r="A36" s="1" t="str">
        <f>"10952"</f>
        <v>10952</v>
      </c>
      <c r="B36" s="1" t="str">
        <f>"35614"</f>
        <v>35614</v>
      </c>
      <c r="C36" s="1" t="str">
        <f>"MONSEY"</f>
        <v>MONSEY</v>
      </c>
      <c r="D36" s="1" t="str">
        <f t="shared" si="2"/>
        <v>NY</v>
      </c>
      <c r="E36" s="2">
        <v>1</v>
      </c>
      <c r="F36" s="2">
        <v>1</v>
      </c>
      <c r="G36" s="2">
        <v>1</v>
      </c>
      <c r="H36" s="2">
        <v>1</v>
      </c>
    </row>
    <row r="37" spans="1:8" x14ac:dyDescent="0.25">
      <c r="A37" s="1" t="str">
        <f>"18074"</f>
        <v>18074</v>
      </c>
      <c r="B37" s="1" t="str">
        <f>"33874"</f>
        <v>33874</v>
      </c>
      <c r="C37" s="1" t="str">
        <f>"PERKIOMENVILLE"</f>
        <v>PERKIOMENVILLE</v>
      </c>
      <c r="D37" s="1" t="str">
        <f t="shared" ref="D37:D43" si="3">"PA"</f>
        <v>PA</v>
      </c>
      <c r="E37" s="2">
        <v>1</v>
      </c>
      <c r="F37" s="2">
        <v>1</v>
      </c>
      <c r="G37" s="2">
        <v>1</v>
      </c>
      <c r="H37" s="2">
        <v>1</v>
      </c>
    </row>
    <row r="38" spans="1:8" x14ac:dyDescent="0.25">
      <c r="A38" s="1" t="str">
        <f>"18902"</f>
        <v>18902</v>
      </c>
      <c r="B38" s="1" t="str">
        <f>"33874"</f>
        <v>33874</v>
      </c>
      <c r="C38" s="1" t="str">
        <f>"DOYLESTOWN"</f>
        <v>DOYLESTOWN</v>
      </c>
      <c r="D38" s="1" t="str">
        <f t="shared" si="3"/>
        <v>PA</v>
      </c>
      <c r="E38" s="2">
        <v>1</v>
      </c>
      <c r="F38" s="2">
        <v>1</v>
      </c>
      <c r="G38" s="2">
        <v>1</v>
      </c>
      <c r="H38" s="2">
        <v>1</v>
      </c>
    </row>
    <row r="39" spans="1:8" x14ac:dyDescent="0.25">
      <c r="A39" s="1" t="str">
        <f>"19061"</f>
        <v>19061</v>
      </c>
      <c r="B39" s="1" t="str">
        <f>"37964"</f>
        <v>37964</v>
      </c>
      <c r="C39" s="1" t="str">
        <f>"MARCUS HOOK"</f>
        <v>MARCUS HOOK</v>
      </c>
      <c r="D39" s="1" t="str">
        <f t="shared" si="3"/>
        <v>PA</v>
      </c>
      <c r="E39" s="2">
        <v>1</v>
      </c>
      <c r="F39" s="2">
        <v>1</v>
      </c>
      <c r="G39" s="2">
        <v>1</v>
      </c>
      <c r="H39" s="2">
        <v>1</v>
      </c>
    </row>
    <row r="40" spans="1:8" x14ac:dyDescent="0.25">
      <c r="A40" s="1" t="str">
        <f>"19138"</f>
        <v>19138</v>
      </c>
      <c r="B40" s="1" t="str">
        <f>"37964"</f>
        <v>37964</v>
      </c>
      <c r="C40" s="1" t="str">
        <f>"PHILADELPHIA"</f>
        <v>PHILADELPHIA</v>
      </c>
      <c r="D40" s="1" t="str">
        <f t="shared" si="3"/>
        <v>PA</v>
      </c>
      <c r="E40" s="2">
        <v>1</v>
      </c>
      <c r="F40" s="2">
        <v>1</v>
      </c>
      <c r="G40" s="2">
        <v>1</v>
      </c>
      <c r="H40" s="2">
        <v>1</v>
      </c>
    </row>
    <row r="41" spans="1:8" x14ac:dyDescent="0.25">
      <c r="A41" s="1" t="str">
        <f>"19150"</f>
        <v>19150</v>
      </c>
      <c r="B41" s="1" t="str">
        <f>"33874"</f>
        <v>33874</v>
      </c>
      <c r="C41" s="1" t="str">
        <f>"PHILADELPHIA"</f>
        <v>PHILADELPHIA</v>
      </c>
      <c r="D41" s="1" t="str">
        <f t="shared" si="3"/>
        <v>PA</v>
      </c>
      <c r="E41" s="2">
        <v>0</v>
      </c>
      <c r="F41" s="2">
        <v>6.0606060606060601E-2</v>
      </c>
      <c r="G41" s="2">
        <v>4.1025641025640998E-2</v>
      </c>
      <c r="H41" s="2">
        <v>2.6755852842809298E-3</v>
      </c>
    </row>
    <row r="42" spans="1:8" x14ac:dyDescent="0.25">
      <c r="A42" s="1" t="str">
        <f>"19150"</f>
        <v>19150</v>
      </c>
      <c r="B42" s="1" t="str">
        <f>"37964"</f>
        <v>37964</v>
      </c>
      <c r="C42" s="1" t="str">
        <f>"PHILADELPHIA"</f>
        <v>PHILADELPHIA</v>
      </c>
      <c r="D42" s="1" t="str">
        <f t="shared" si="3"/>
        <v>PA</v>
      </c>
      <c r="E42" s="2">
        <v>1</v>
      </c>
      <c r="F42" s="2">
        <v>0.939393939393939</v>
      </c>
      <c r="G42" s="2">
        <v>0.95897435897435801</v>
      </c>
      <c r="H42" s="2">
        <v>0.99732441471571898</v>
      </c>
    </row>
    <row r="43" spans="1:8" x14ac:dyDescent="0.25">
      <c r="A43" s="1" t="str">
        <f>"19440"</f>
        <v>19440</v>
      </c>
      <c r="B43" s="1" t="str">
        <f>"33874"</f>
        <v>33874</v>
      </c>
      <c r="C43" s="1" t="str">
        <f>"HATFIELD"</f>
        <v>HATFIELD</v>
      </c>
      <c r="D43" s="1" t="str">
        <f t="shared" si="3"/>
        <v>PA</v>
      </c>
      <c r="E43" s="2">
        <v>1</v>
      </c>
      <c r="F43" s="2">
        <v>1</v>
      </c>
      <c r="G43" s="2">
        <v>1</v>
      </c>
      <c r="H43" s="2">
        <v>1</v>
      </c>
    </row>
    <row r="44" spans="1:8" x14ac:dyDescent="0.25">
      <c r="A44" s="1" t="str">
        <f>"20019"</f>
        <v>20019</v>
      </c>
      <c r="B44" s="1" t="str">
        <f t="shared" ref="B44:B51" si="4">"47894"</f>
        <v>47894</v>
      </c>
      <c r="C44" s="1" t="str">
        <f>"WASHINGTON"</f>
        <v>WASHINGTON</v>
      </c>
      <c r="D44" s="1" t="str">
        <f>"DC"</f>
        <v>DC</v>
      </c>
      <c r="E44" s="2">
        <v>1</v>
      </c>
      <c r="F44" s="2">
        <v>1</v>
      </c>
      <c r="G44" s="2">
        <v>1</v>
      </c>
      <c r="H44" s="2">
        <v>1</v>
      </c>
    </row>
    <row r="45" spans="1:8" x14ac:dyDescent="0.25">
      <c r="A45" s="1" t="str">
        <f>"20676"</f>
        <v>20676</v>
      </c>
      <c r="B45" s="1" t="str">
        <f t="shared" si="4"/>
        <v>47894</v>
      </c>
      <c r="C45" s="1" t="str">
        <f>"PORT REPUBLIC"</f>
        <v>PORT REPUBLIC</v>
      </c>
      <c r="D45" s="1" t="str">
        <f>"MD"</f>
        <v>MD</v>
      </c>
      <c r="E45" s="2">
        <v>1</v>
      </c>
      <c r="F45" s="2">
        <v>1</v>
      </c>
      <c r="G45" s="2">
        <v>1</v>
      </c>
      <c r="H45" s="2">
        <v>1</v>
      </c>
    </row>
    <row r="46" spans="1:8" x14ac:dyDescent="0.25">
      <c r="A46" s="1" t="str">
        <f>"22015"</f>
        <v>22015</v>
      </c>
      <c r="B46" s="1" t="str">
        <f t="shared" si="4"/>
        <v>47894</v>
      </c>
      <c r="C46" s="1" t="str">
        <f>"BURKE"</f>
        <v>BURKE</v>
      </c>
      <c r="D46" s="1" t="str">
        <f t="shared" ref="D46:D51" si="5">"VA"</f>
        <v>VA</v>
      </c>
      <c r="E46" s="2">
        <v>1</v>
      </c>
      <c r="F46" s="2">
        <v>1</v>
      </c>
      <c r="G46" s="2">
        <v>1</v>
      </c>
      <c r="H46" s="2">
        <v>1</v>
      </c>
    </row>
    <row r="47" spans="1:8" x14ac:dyDescent="0.25">
      <c r="A47" s="1" t="str">
        <f>"22183"</f>
        <v>22183</v>
      </c>
      <c r="B47" s="1" t="str">
        <f t="shared" si="4"/>
        <v>47894</v>
      </c>
      <c r="C47" s="1" t="str">
        <f>"VIENNA"</f>
        <v>VIENNA</v>
      </c>
      <c r="D47" s="1" t="str">
        <f t="shared" si="5"/>
        <v>VA</v>
      </c>
      <c r="E47" s="2">
        <v>1</v>
      </c>
      <c r="F47" s="2">
        <v>1</v>
      </c>
      <c r="G47" s="2">
        <v>1</v>
      </c>
      <c r="H47" s="2">
        <v>1</v>
      </c>
    </row>
    <row r="48" spans="1:8" x14ac:dyDescent="0.25">
      <c r="A48" s="1" t="str">
        <f>"22307"</f>
        <v>22307</v>
      </c>
      <c r="B48" s="1" t="str">
        <f t="shared" si="4"/>
        <v>47894</v>
      </c>
      <c r="C48" s="1" t="str">
        <f>"ALEXANDRIA"</f>
        <v>ALEXANDRIA</v>
      </c>
      <c r="D48" s="1" t="str">
        <f t="shared" si="5"/>
        <v>VA</v>
      </c>
      <c r="E48" s="2">
        <v>1</v>
      </c>
      <c r="F48" s="2">
        <v>1</v>
      </c>
      <c r="G48" s="2">
        <v>1</v>
      </c>
      <c r="H48" s="2">
        <v>1</v>
      </c>
    </row>
    <row r="49" spans="1:8" x14ac:dyDescent="0.25">
      <c r="A49" s="1" t="str">
        <f>"22729"</f>
        <v>22729</v>
      </c>
      <c r="B49" s="1" t="str">
        <f t="shared" si="4"/>
        <v>47894</v>
      </c>
      <c r="C49" s="1" t="str">
        <f>"MITCHELLS"</f>
        <v>MITCHELLS</v>
      </c>
      <c r="D49" s="1" t="str">
        <f t="shared" si="5"/>
        <v>VA</v>
      </c>
      <c r="E49" s="2">
        <v>1</v>
      </c>
      <c r="F49" s="2">
        <v>0</v>
      </c>
      <c r="G49" s="2">
        <v>0</v>
      </c>
      <c r="H49" s="2">
        <v>1</v>
      </c>
    </row>
    <row r="50" spans="1:8" x14ac:dyDescent="0.25">
      <c r="A50" s="1" t="str">
        <f>"22727"</f>
        <v>22727</v>
      </c>
      <c r="B50" s="1" t="str">
        <f t="shared" si="4"/>
        <v>47894</v>
      </c>
      <c r="C50" s="1" t="str">
        <f>"MADISON"</f>
        <v>MADISON</v>
      </c>
      <c r="D50" s="1" t="str">
        <f t="shared" si="5"/>
        <v>VA</v>
      </c>
      <c r="E50" s="2">
        <v>1</v>
      </c>
      <c r="F50" s="2">
        <v>1</v>
      </c>
      <c r="G50" s="2">
        <v>1</v>
      </c>
      <c r="H50" s="2">
        <v>1</v>
      </c>
    </row>
    <row r="51" spans="1:8" x14ac:dyDescent="0.25">
      <c r="A51" s="1" t="str">
        <f>"22723"</f>
        <v>22723</v>
      </c>
      <c r="B51" s="1" t="str">
        <f t="shared" si="4"/>
        <v>47894</v>
      </c>
      <c r="C51" s="1" t="str">
        <f>"HOOD"</f>
        <v>HOOD</v>
      </c>
      <c r="D51" s="1" t="str">
        <f t="shared" si="5"/>
        <v>VA</v>
      </c>
      <c r="E51" s="2">
        <v>1</v>
      </c>
      <c r="F51" s="2">
        <v>1</v>
      </c>
      <c r="G51" s="2">
        <v>0</v>
      </c>
      <c r="H51" s="2">
        <v>1</v>
      </c>
    </row>
    <row r="52" spans="1:8" x14ac:dyDescent="0.25">
      <c r="A52" s="1" t="str">
        <f>"33015"</f>
        <v>33015</v>
      </c>
      <c r="B52" s="1" t="str">
        <f>"33124"</f>
        <v>33124</v>
      </c>
      <c r="C52" s="1" t="str">
        <f>"HIALEAH"</f>
        <v>HIALEAH</v>
      </c>
      <c r="D52" s="1" t="str">
        <f t="shared" ref="D52:D57" si="6">"FL"</f>
        <v>FL</v>
      </c>
      <c r="E52" s="2">
        <v>1</v>
      </c>
      <c r="F52" s="2">
        <v>1</v>
      </c>
      <c r="G52" s="2">
        <v>1</v>
      </c>
      <c r="H52" s="2">
        <v>1</v>
      </c>
    </row>
    <row r="53" spans="1:8" x14ac:dyDescent="0.25">
      <c r="A53" s="1" t="str">
        <f>"33193"</f>
        <v>33193</v>
      </c>
      <c r="B53" s="1" t="str">
        <f>"33124"</f>
        <v>33124</v>
      </c>
      <c r="C53" s="1" t="str">
        <f>"MIAMI"</f>
        <v>MIAMI</v>
      </c>
      <c r="D53" s="1" t="str">
        <f t="shared" si="6"/>
        <v>FL</v>
      </c>
      <c r="E53" s="2">
        <v>1</v>
      </c>
      <c r="F53" s="2">
        <v>1</v>
      </c>
      <c r="G53" s="2">
        <v>1</v>
      </c>
      <c r="H53" s="2">
        <v>1</v>
      </c>
    </row>
    <row r="54" spans="1:8" x14ac:dyDescent="0.25">
      <c r="A54" s="1" t="str">
        <f>"33144"</f>
        <v>33144</v>
      </c>
      <c r="B54" s="1" t="str">
        <f>"33124"</f>
        <v>33124</v>
      </c>
      <c r="C54" s="1" t="str">
        <f>"MIAMI"</f>
        <v>MIAMI</v>
      </c>
      <c r="D54" s="1" t="str">
        <f t="shared" si="6"/>
        <v>FL</v>
      </c>
      <c r="E54" s="2">
        <v>1</v>
      </c>
      <c r="F54" s="2">
        <v>1</v>
      </c>
      <c r="G54" s="2">
        <v>1</v>
      </c>
      <c r="H54" s="2">
        <v>1</v>
      </c>
    </row>
    <row r="55" spans="1:8" x14ac:dyDescent="0.25">
      <c r="A55" s="1" t="str">
        <f>"33146"</f>
        <v>33146</v>
      </c>
      <c r="B55" s="1" t="str">
        <f>"33124"</f>
        <v>33124</v>
      </c>
      <c r="C55" s="1" t="str">
        <f>"MIAMI"</f>
        <v>MIAMI</v>
      </c>
      <c r="D55" s="1" t="str">
        <f t="shared" si="6"/>
        <v>FL</v>
      </c>
      <c r="E55" s="2">
        <v>1</v>
      </c>
      <c r="F55" s="2">
        <v>1</v>
      </c>
      <c r="G55" s="2">
        <v>1</v>
      </c>
      <c r="H55" s="2">
        <v>1</v>
      </c>
    </row>
    <row r="56" spans="1:8" x14ac:dyDescent="0.25">
      <c r="A56" s="1" t="str">
        <f>"33140"</f>
        <v>33140</v>
      </c>
      <c r="B56" s="1" t="str">
        <f>"33124"</f>
        <v>33124</v>
      </c>
      <c r="C56" s="1" t="str">
        <f>"MIAMI BEACH"</f>
        <v>MIAMI BEACH</v>
      </c>
      <c r="D56" s="1" t="str">
        <f t="shared" si="6"/>
        <v>FL</v>
      </c>
      <c r="E56" s="2">
        <v>1</v>
      </c>
      <c r="F56" s="2">
        <v>1</v>
      </c>
      <c r="G56" s="2">
        <v>1</v>
      </c>
      <c r="H56" s="2">
        <v>1</v>
      </c>
    </row>
    <row r="57" spans="1:8" x14ac:dyDescent="0.25">
      <c r="A57" s="1" t="str">
        <f>"33307"</f>
        <v>33307</v>
      </c>
      <c r="B57" s="1" t="str">
        <f>"22744"</f>
        <v>22744</v>
      </c>
      <c r="C57" s="1" t="str">
        <f>"FORT LAUDERDALE"</f>
        <v>FORT LAUDERDALE</v>
      </c>
      <c r="D57" s="1" t="str">
        <f t="shared" si="6"/>
        <v>FL</v>
      </c>
      <c r="E57" s="2">
        <v>1</v>
      </c>
      <c r="F57" s="2">
        <v>1</v>
      </c>
      <c r="G57" s="2">
        <v>1</v>
      </c>
      <c r="H57" s="2">
        <v>1</v>
      </c>
    </row>
    <row r="58" spans="1:8" x14ac:dyDescent="0.25">
      <c r="A58" s="1" t="str">
        <f>"25438"</f>
        <v>25438</v>
      </c>
      <c r="B58" s="1" t="str">
        <f>"47894"</f>
        <v>47894</v>
      </c>
      <c r="C58" s="1" t="str">
        <f>"RANSON"</f>
        <v>RANSON</v>
      </c>
      <c r="D58" s="1" t="str">
        <f>"WV"</f>
        <v>WV</v>
      </c>
      <c r="E58" s="2">
        <v>1</v>
      </c>
      <c r="F58" s="2">
        <v>1</v>
      </c>
      <c r="G58" s="2">
        <v>1</v>
      </c>
      <c r="H58" s="2">
        <v>1</v>
      </c>
    </row>
    <row r="59" spans="1:8" x14ac:dyDescent="0.25">
      <c r="A59" s="1" t="str">
        <f>"46311"</f>
        <v>46311</v>
      </c>
      <c r="B59" s="1" t="str">
        <f>"23844"</f>
        <v>23844</v>
      </c>
      <c r="C59" s="1" t="str">
        <f>"DYER"</f>
        <v>DYER</v>
      </c>
      <c r="D59" s="1" t="str">
        <f>"IN"</f>
        <v>IN</v>
      </c>
      <c r="E59" s="2">
        <v>1</v>
      </c>
      <c r="F59" s="2">
        <v>1</v>
      </c>
      <c r="G59" s="2">
        <v>1</v>
      </c>
      <c r="H59" s="2">
        <v>1</v>
      </c>
    </row>
    <row r="60" spans="1:8" x14ac:dyDescent="0.25">
      <c r="A60" s="1" t="str">
        <f>"46327"</f>
        <v>46327</v>
      </c>
      <c r="B60" s="1" t="str">
        <f>"23844"</f>
        <v>23844</v>
      </c>
      <c r="C60" s="1" t="str">
        <f>"HAMMOND"</f>
        <v>HAMMOND</v>
      </c>
      <c r="D60" s="1" t="str">
        <f>"IN"</f>
        <v>IN</v>
      </c>
      <c r="E60" s="2">
        <v>1</v>
      </c>
      <c r="F60" s="2">
        <v>1</v>
      </c>
      <c r="G60" s="2">
        <v>1</v>
      </c>
      <c r="H60" s="2">
        <v>1</v>
      </c>
    </row>
    <row r="61" spans="1:8" x14ac:dyDescent="0.25">
      <c r="A61" s="1" t="str">
        <f>"46405"</f>
        <v>46405</v>
      </c>
      <c r="B61" s="1" t="str">
        <f>"23844"</f>
        <v>23844</v>
      </c>
      <c r="C61" s="1" t="str">
        <f>"LAKE STATION"</f>
        <v>LAKE STATION</v>
      </c>
      <c r="D61" s="1" t="str">
        <f>"IN"</f>
        <v>IN</v>
      </c>
      <c r="E61" s="2">
        <v>1</v>
      </c>
      <c r="F61" s="2">
        <v>1</v>
      </c>
      <c r="G61" s="2">
        <v>1</v>
      </c>
      <c r="H61" s="2">
        <v>1</v>
      </c>
    </row>
    <row r="62" spans="1:8" x14ac:dyDescent="0.25">
      <c r="A62" s="1" t="str">
        <f>"48030"</f>
        <v>48030</v>
      </c>
      <c r="B62" s="1" t="str">
        <f>"47664"</f>
        <v>47664</v>
      </c>
      <c r="C62" s="1" t="str">
        <f>"HAZEL PARK"</f>
        <v>HAZEL PARK</v>
      </c>
      <c r="D62" s="1" t="str">
        <f t="shared" ref="D62:D67" si="7">"MI"</f>
        <v>MI</v>
      </c>
      <c r="E62" s="2">
        <v>1</v>
      </c>
      <c r="F62" s="2">
        <v>1</v>
      </c>
      <c r="G62" s="2">
        <v>1</v>
      </c>
      <c r="H62" s="2">
        <v>1</v>
      </c>
    </row>
    <row r="63" spans="1:8" x14ac:dyDescent="0.25">
      <c r="A63" s="1" t="str">
        <f>"48301"</f>
        <v>48301</v>
      </c>
      <c r="B63" s="1" t="str">
        <f>"47664"</f>
        <v>47664</v>
      </c>
      <c r="C63" s="1" t="str">
        <f>"BLOOMFIELD HILLS"</f>
        <v>BLOOMFIELD HILLS</v>
      </c>
      <c r="D63" s="1" t="str">
        <f t="shared" si="7"/>
        <v>MI</v>
      </c>
      <c r="E63" s="2">
        <v>1</v>
      </c>
      <c r="F63" s="2">
        <v>1</v>
      </c>
      <c r="G63" s="2">
        <v>1</v>
      </c>
      <c r="H63" s="2">
        <v>1</v>
      </c>
    </row>
    <row r="64" spans="1:8" x14ac:dyDescent="0.25">
      <c r="A64" s="1" t="str">
        <f>"48169"</f>
        <v>48169</v>
      </c>
      <c r="B64" s="1" t="str">
        <f>"47664"</f>
        <v>47664</v>
      </c>
      <c r="C64" s="1" t="str">
        <f>"PINCKNEY"</f>
        <v>PINCKNEY</v>
      </c>
      <c r="D64" s="1" t="str">
        <f t="shared" si="7"/>
        <v>MI</v>
      </c>
      <c r="E64" s="2">
        <v>1</v>
      </c>
      <c r="F64" s="2">
        <v>1</v>
      </c>
      <c r="G64" s="2">
        <v>1</v>
      </c>
      <c r="H64" s="2">
        <v>1</v>
      </c>
    </row>
    <row r="65" spans="1:8" x14ac:dyDescent="0.25">
      <c r="A65" s="1" t="str">
        <f>"48152"</f>
        <v>48152</v>
      </c>
      <c r="B65" s="1" t="str">
        <f>"19804"</f>
        <v>19804</v>
      </c>
      <c r="C65" s="1" t="str">
        <f>"LIVONIA"</f>
        <v>LIVONIA</v>
      </c>
      <c r="D65" s="1" t="str">
        <f t="shared" si="7"/>
        <v>MI</v>
      </c>
      <c r="E65" s="2">
        <v>1</v>
      </c>
      <c r="F65" s="2">
        <v>1</v>
      </c>
      <c r="G65" s="2">
        <v>1</v>
      </c>
      <c r="H65" s="2">
        <v>1</v>
      </c>
    </row>
    <row r="66" spans="1:8" x14ac:dyDescent="0.25">
      <c r="A66" s="1" t="str">
        <f>"48206"</f>
        <v>48206</v>
      </c>
      <c r="B66" s="1" t="str">
        <f>"19804"</f>
        <v>19804</v>
      </c>
      <c r="C66" s="1" t="str">
        <f>"DETROIT"</f>
        <v>DETROIT</v>
      </c>
      <c r="D66" s="1" t="str">
        <f t="shared" si="7"/>
        <v>MI</v>
      </c>
      <c r="E66" s="2">
        <v>1</v>
      </c>
      <c r="F66" s="2">
        <v>1</v>
      </c>
      <c r="G66" s="2">
        <v>1</v>
      </c>
      <c r="H66" s="2">
        <v>1</v>
      </c>
    </row>
    <row r="67" spans="1:8" x14ac:dyDescent="0.25">
      <c r="A67" s="1" t="str">
        <f>"48226"</f>
        <v>48226</v>
      </c>
      <c r="B67" s="1" t="str">
        <f>"19804"</f>
        <v>19804</v>
      </c>
      <c r="C67" s="1" t="str">
        <f>"DETROIT"</f>
        <v>DETROIT</v>
      </c>
      <c r="D67" s="1" t="str">
        <f t="shared" si="7"/>
        <v>MI</v>
      </c>
      <c r="E67" s="2">
        <v>1</v>
      </c>
      <c r="F67" s="2">
        <v>1</v>
      </c>
      <c r="G67" s="2">
        <v>1</v>
      </c>
      <c r="H67" s="2">
        <v>1</v>
      </c>
    </row>
    <row r="68" spans="1:8" x14ac:dyDescent="0.25">
      <c r="A68" s="1" t="str">
        <f>"53144"</f>
        <v>53144</v>
      </c>
      <c r="B68" s="1" t="str">
        <f>"29404"</f>
        <v>29404</v>
      </c>
      <c r="C68" s="1" t="str">
        <f>"KENOSHA"</f>
        <v>KENOSHA</v>
      </c>
      <c r="D68" s="1" t="str">
        <f>"WI"</f>
        <v>WI</v>
      </c>
      <c r="E68" s="2">
        <v>1</v>
      </c>
      <c r="F68" s="2">
        <v>1</v>
      </c>
      <c r="G68" s="2">
        <v>1</v>
      </c>
      <c r="H68" s="2">
        <v>1</v>
      </c>
    </row>
    <row r="69" spans="1:8" x14ac:dyDescent="0.25">
      <c r="A69" s="1" t="str">
        <f>"60423"</f>
        <v>60423</v>
      </c>
      <c r="B69" s="1" t="str">
        <f>"16984"</f>
        <v>16984</v>
      </c>
      <c r="C69" s="1" t="str">
        <f>"FRANKFORT"</f>
        <v>FRANKFORT</v>
      </c>
      <c r="D69" s="1" t="str">
        <f>"IL"</f>
        <v>IL</v>
      </c>
      <c r="E69" s="2">
        <v>1</v>
      </c>
      <c r="F69" s="2">
        <v>1</v>
      </c>
      <c r="G69" s="2">
        <v>1</v>
      </c>
      <c r="H69" s="2">
        <v>1</v>
      </c>
    </row>
    <row r="70" spans="1:8" x14ac:dyDescent="0.25">
      <c r="A70" s="1" t="str">
        <f>"60133"</f>
        <v>60133</v>
      </c>
      <c r="B70" s="1" t="str">
        <f>"16984"</f>
        <v>16984</v>
      </c>
      <c r="C70" s="1" t="str">
        <f>"HANOVER PARK"</f>
        <v>HANOVER PARK</v>
      </c>
      <c r="D70" s="1" t="str">
        <f>"IL"</f>
        <v>IL</v>
      </c>
      <c r="E70" s="2">
        <v>1</v>
      </c>
      <c r="F70" s="2">
        <v>1</v>
      </c>
      <c r="G70" s="2">
        <v>1</v>
      </c>
      <c r="H70" s="2">
        <v>1</v>
      </c>
    </row>
    <row r="71" spans="1:8" x14ac:dyDescent="0.25">
      <c r="A71" s="1" t="str">
        <f>"60008"</f>
        <v>60008</v>
      </c>
      <c r="B71" s="1" t="str">
        <f>"16984"</f>
        <v>16984</v>
      </c>
      <c r="C71" s="1" t="str">
        <f>"ROLLING MEADOWS"</f>
        <v>ROLLING MEADOWS</v>
      </c>
      <c r="D71" s="1" t="str">
        <f>"IL"</f>
        <v>IL</v>
      </c>
      <c r="E71" s="2">
        <v>1</v>
      </c>
      <c r="F71" s="2">
        <v>1</v>
      </c>
      <c r="G71" s="2">
        <v>1</v>
      </c>
      <c r="H71" s="2">
        <v>1</v>
      </c>
    </row>
    <row r="72" spans="1:8" x14ac:dyDescent="0.25">
      <c r="A72" s="1" t="str">
        <f>"60163"</f>
        <v>60163</v>
      </c>
      <c r="B72" s="1" t="str">
        <f>"16984"</f>
        <v>16984</v>
      </c>
      <c r="C72" s="1" t="str">
        <f>"BERKELEY"</f>
        <v>BERKELEY</v>
      </c>
      <c r="D72" s="1" t="str">
        <f>"IL"</f>
        <v>IL</v>
      </c>
      <c r="E72" s="2">
        <v>1</v>
      </c>
      <c r="F72" s="2">
        <v>1</v>
      </c>
      <c r="G72" s="2">
        <v>1</v>
      </c>
      <c r="H72" s="2">
        <v>1</v>
      </c>
    </row>
    <row r="73" spans="1:8" x14ac:dyDescent="0.25">
      <c r="A73" s="1" t="str">
        <f>"60656"</f>
        <v>60656</v>
      </c>
      <c r="B73" s="1" t="str">
        <f>"16984"</f>
        <v>16984</v>
      </c>
      <c r="C73" s="1" t="str">
        <f>"CHICAGO"</f>
        <v>CHICAGO</v>
      </c>
      <c r="D73" s="1" t="str">
        <f>"IL"</f>
        <v>IL</v>
      </c>
      <c r="E73" s="2">
        <v>1</v>
      </c>
      <c r="F73" s="2">
        <v>1</v>
      </c>
      <c r="G73" s="2">
        <v>1</v>
      </c>
      <c r="H73" s="2">
        <v>1</v>
      </c>
    </row>
    <row r="74" spans="1:8" x14ac:dyDescent="0.25">
      <c r="A74" s="1" t="str">
        <f>"75011"</f>
        <v>75011</v>
      </c>
      <c r="B74" s="1" t="str">
        <f>"19124"</f>
        <v>19124</v>
      </c>
      <c r="C74" s="1" t="str">
        <f>"CARROLLTON"</f>
        <v>CARROLLTON</v>
      </c>
      <c r="D74" s="1" t="str">
        <f t="shared" ref="D74:D85" si="8">"TX"</f>
        <v>TX</v>
      </c>
      <c r="E74" s="2">
        <v>1</v>
      </c>
      <c r="F74" s="2">
        <v>1</v>
      </c>
      <c r="G74" s="2">
        <v>1</v>
      </c>
      <c r="H74" s="2">
        <v>1</v>
      </c>
    </row>
    <row r="75" spans="1:8" x14ac:dyDescent="0.25">
      <c r="A75" s="1" t="str">
        <f>"75234"</f>
        <v>75234</v>
      </c>
      <c r="B75" s="1" t="str">
        <f>"19124"</f>
        <v>19124</v>
      </c>
      <c r="C75" s="1" t="str">
        <f>"DALLAS"</f>
        <v>DALLAS</v>
      </c>
      <c r="D75" s="1" t="str">
        <f t="shared" si="8"/>
        <v>TX</v>
      </c>
      <c r="E75" s="2">
        <v>1</v>
      </c>
      <c r="F75" s="2">
        <v>1</v>
      </c>
      <c r="G75" s="2">
        <v>1</v>
      </c>
      <c r="H75" s="2">
        <v>1</v>
      </c>
    </row>
    <row r="76" spans="1:8" x14ac:dyDescent="0.25">
      <c r="A76" s="1" t="str">
        <f>"75093"</f>
        <v>75093</v>
      </c>
      <c r="B76" s="1" t="str">
        <f>"19124"</f>
        <v>19124</v>
      </c>
      <c r="C76" s="1" t="str">
        <f>"PLANO"</f>
        <v>PLANO</v>
      </c>
      <c r="D76" s="1" t="str">
        <f t="shared" si="8"/>
        <v>TX</v>
      </c>
      <c r="E76" s="2">
        <v>1</v>
      </c>
      <c r="F76" s="2">
        <v>1</v>
      </c>
      <c r="G76" s="2">
        <v>1</v>
      </c>
      <c r="H76" s="2">
        <v>1</v>
      </c>
    </row>
    <row r="77" spans="1:8" x14ac:dyDescent="0.25">
      <c r="A77" s="1" t="str">
        <f>"75182"</f>
        <v>75182</v>
      </c>
      <c r="B77" s="1" t="str">
        <f>"19124"</f>
        <v>19124</v>
      </c>
      <c r="C77" s="1" t="str">
        <f>"SUNNYVALE"</f>
        <v>SUNNYVALE</v>
      </c>
      <c r="D77" s="1" t="str">
        <f t="shared" si="8"/>
        <v>TX</v>
      </c>
      <c r="E77" s="2">
        <v>1</v>
      </c>
      <c r="F77" s="2">
        <v>1</v>
      </c>
      <c r="G77" s="2">
        <v>1</v>
      </c>
      <c r="H77" s="2">
        <v>1</v>
      </c>
    </row>
    <row r="78" spans="1:8" x14ac:dyDescent="0.25">
      <c r="A78" s="1" t="str">
        <f>"76185"</f>
        <v>76185</v>
      </c>
      <c r="B78" s="1" t="str">
        <f t="shared" ref="B78:B83" si="9">"23104"</f>
        <v>23104</v>
      </c>
      <c r="C78" s="1" t="str">
        <f>"FORT WORTH"</f>
        <v>FORT WORTH</v>
      </c>
      <c r="D78" s="1" t="str">
        <f t="shared" si="8"/>
        <v>TX</v>
      </c>
      <c r="E78" s="2">
        <v>1</v>
      </c>
      <c r="F78" s="2">
        <v>1</v>
      </c>
      <c r="G78" s="2">
        <v>1</v>
      </c>
      <c r="H78" s="2">
        <v>1</v>
      </c>
    </row>
    <row r="79" spans="1:8" x14ac:dyDescent="0.25">
      <c r="A79" s="1" t="str">
        <f>"76023"</f>
        <v>76023</v>
      </c>
      <c r="B79" s="1" t="str">
        <f t="shared" si="9"/>
        <v>23104</v>
      </c>
      <c r="C79" s="1" t="str">
        <f>"BOYD"</f>
        <v>BOYD</v>
      </c>
      <c r="D79" s="1" t="str">
        <f t="shared" si="8"/>
        <v>TX</v>
      </c>
      <c r="E79" s="2">
        <v>1</v>
      </c>
      <c r="F79" s="2">
        <v>1</v>
      </c>
      <c r="G79" s="2">
        <v>1</v>
      </c>
      <c r="H79" s="2">
        <v>1</v>
      </c>
    </row>
    <row r="80" spans="1:8" x14ac:dyDescent="0.25">
      <c r="A80" s="1" t="str">
        <f>"76011"</f>
        <v>76011</v>
      </c>
      <c r="B80" s="1" t="str">
        <f t="shared" si="9"/>
        <v>23104</v>
      </c>
      <c r="C80" s="1" t="str">
        <f>"ARLINGTON"</f>
        <v>ARLINGTON</v>
      </c>
      <c r="D80" s="1" t="str">
        <f t="shared" si="8"/>
        <v>TX</v>
      </c>
      <c r="E80" s="2">
        <v>1</v>
      </c>
      <c r="F80" s="2">
        <v>1</v>
      </c>
      <c r="G80" s="2">
        <v>1</v>
      </c>
      <c r="H80" s="2">
        <v>1</v>
      </c>
    </row>
    <row r="81" spans="1:8" x14ac:dyDescent="0.25">
      <c r="A81" s="1" t="str">
        <f>"76039"</f>
        <v>76039</v>
      </c>
      <c r="B81" s="1" t="str">
        <f t="shared" si="9"/>
        <v>23104</v>
      </c>
      <c r="C81" s="1" t="str">
        <f>"EULESS"</f>
        <v>EULESS</v>
      </c>
      <c r="D81" s="1" t="str">
        <f t="shared" si="8"/>
        <v>TX</v>
      </c>
      <c r="E81" s="2">
        <v>1</v>
      </c>
      <c r="F81" s="2">
        <v>1</v>
      </c>
      <c r="G81" s="2">
        <v>1</v>
      </c>
      <c r="H81" s="2">
        <v>1</v>
      </c>
    </row>
    <row r="82" spans="1:8" x14ac:dyDescent="0.25">
      <c r="A82" s="1" t="str">
        <f>"76119"</f>
        <v>76119</v>
      </c>
      <c r="B82" s="1" t="str">
        <f t="shared" si="9"/>
        <v>23104</v>
      </c>
      <c r="C82" s="1" t="str">
        <f>"FORT WORTH"</f>
        <v>FORT WORTH</v>
      </c>
      <c r="D82" s="1" t="str">
        <f t="shared" si="8"/>
        <v>TX</v>
      </c>
      <c r="E82" s="2">
        <v>1</v>
      </c>
      <c r="F82" s="2">
        <v>1</v>
      </c>
      <c r="G82" s="2">
        <v>1</v>
      </c>
      <c r="H82" s="2">
        <v>1</v>
      </c>
    </row>
    <row r="83" spans="1:8" x14ac:dyDescent="0.25">
      <c r="A83" s="1" t="str">
        <f>"76002"</f>
        <v>76002</v>
      </c>
      <c r="B83" s="1" t="str">
        <f t="shared" si="9"/>
        <v>23104</v>
      </c>
      <c r="C83" s="1" t="str">
        <f>"ARLINGTON"</f>
        <v>ARLINGTON</v>
      </c>
      <c r="D83" s="1" t="str">
        <f t="shared" si="8"/>
        <v>TX</v>
      </c>
      <c r="E83" s="2">
        <v>1</v>
      </c>
      <c r="F83" s="2">
        <v>1</v>
      </c>
      <c r="G83" s="2">
        <v>1</v>
      </c>
      <c r="H83" s="2">
        <v>1</v>
      </c>
    </row>
    <row r="84" spans="1:8" x14ac:dyDescent="0.25">
      <c r="A84" s="1" t="str">
        <f>"76234"</f>
        <v>76234</v>
      </c>
      <c r="B84" s="1" t="str">
        <f>"19124"</f>
        <v>19124</v>
      </c>
      <c r="C84" s="1" t="str">
        <f>"DECATUR"</f>
        <v>DECATUR</v>
      </c>
      <c r="D84" s="1" t="str">
        <f t="shared" si="8"/>
        <v>TX</v>
      </c>
      <c r="E84" s="2">
        <v>1.1039558417663201E-2</v>
      </c>
      <c r="F84" s="2">
        <v>0</v>
      </c>
      <c r="G84" s="2">
        <v>0</v>
      </c>
      <c r="H84" s="2">
        <v>9.4720224522013598E-3</v>
      </c>
    </row>
    <row r="85" spans="1:8" x14ac:dyDescent="0.25">
      <c r="A85" s="1" t="str">
        <f>"76234"</f>
        <v>76234</v>
      </c>
      <c r="B85" s="1" t="str">
        <f>"23104"</f>
        <v>23104</v>
      </c>
      <c r="C85" s="1" t="str">
        <f>"DECATUR"</f>
        <v>DECATUR</v>
      </c>
      <c r="D85" s="1" t="str">
        <f t="shared" si="8"/>
        <v>TX</v>
      </c>
      <c r="E85" s="2">
        <v>0.98896044158233598</v>
      </c>
      <c r="F85" s="2">
        <v>1</v>
      </c>
      <c r="G85" s="2">
        <v>1</v>
      </c>
      <c r="H85" s="2">
        <v>0.99052797754779798</v>
      </c>
    </row>
    <row r="86" spans="1:8" x14ac:dyDescent="0.25">
      <c r="A86" s="1" t="str">
        <f>"90038"</f>
        <v>90038</v>
      </c>
      <c r="B86" s="1" t="str">
        <f t="shared" ref="B86:B94" si="10">"31084"</f>
        <v>31084</v>
      </c>
      <c r="C86" s="1" t="str">
        <f>"LOS ANGELES"</f>
        <v>LOS ANGELES</v>
      </c>
      <c r="D86" s="1" t="str">
        <f t="shared" ref="D86:D103" si="11">"CA"</f>
        <v>CA</v>
      </c>
      <c r="E86" s="2">
        <v>1</v>
      </c>
      <c r="F86" s="2">
        <v>1</v>
      </c>
      <c r="G86" s="2">
        <v>1</v>
      </c>
      <c r="H86" s="2">
        <v>1</v>
      </c>
    </row>
    <row r="87" spans="1:8" x14ac:dyDescent="0.25">
      <c r="A87" s="1" t="str">
        <f>"90058"</f>
        <v>90058</v>
      </c>
      <c r="B87" s="1" t="str">
        <f t="shared" si="10"/>
        <v>31084</v>
      </c>
      <c r="C87" s="1" t="str">
        <f>"LOS ANGELES"</f>
        <v>LOS ANGELES</v>
      </c>
      <c r="D87" s="1" t="str">
        <f t="shared" si="11"/>
        <v>CA</v>
      </c>
      <c r="E87" s="2">
        <v>1</v>
      </c>
      <c r="F87" s="2">
        <v>1</v>
      </c>
      <c r="G87" s="2">
        <v>1</v>
      </c>
      <c r="H87" s="2">
        <v>1</v>
      </c>
    </row>
    <row r="88" spans="1:8" x14ac:dyDescent="0.25">
      <c r="A88" s="1" t="str">
        <f>"91354"</f>
        <v>91354</v>
      </c>
      <c r="B88" s="1" t="str">
        <f t="shared" si="10"/>
        <v>31084</v>
      </c>
      <c r="C88" s="1" t="str">
        <f>"VALENCIA"</f>
        <v>VALENCIA</v>
      </c>
      <c r="D88" s="1" t="str">
        <f t="shared" si="11"/>
        <v>CA</v>
      </c>
      <c r="E88" s="2">
        <v>1</v>
      </c>
      <c r="F88" s="2">
        <v>1</v>
      </c>
      <c r="G88" s="2">
        <v>1</v>
      </c>
      <c r="H88" s="2">
        <v>1</v>
      </c>
    </row>
    <row r="89" spans="1:8" x14ac:dyDescent="0.25">
      <c r="A89" s="1" t="str">
        <f>"91334"</f>
        <v>91334</v>
      </c>
      <c r="B89" s="1" t="str">
        <f t="shared" si="10"/>
        <v>31084</v>
      </c>
      <c r="C89" s="1" t="str">
        <f>"PACOIMA"</f>
        <v>PACOIMA</v>
      </c>
      <c r="D89" s="1" t="str">
        <f t="shared" si="11"/>
        <v>CA</v>
      </c>
      <c r="E89" s="2">
        <v>1</v>
      </c>
      <c r="F89" s="2">
        <v>1</v>
      </c>
      <c r="G89" s="2">
        <v>1</v>
      </c>
      <c r="H89" s="2">
        <v>1</v>
      </c>
    </row>
    <row r="90" spans="1:8" x14ac:dyDescent="0.25">
      <c r="A90" s="1" t="str">
        <f>"91344"</f>
        <v>91344</v>
      </c>
      <c r="B90" s="1" t="str">
        <f t="shared" si="10"/>
        <v>31084</v>
      </c>
      <c r="C90" s="1" t="str">
        <f>"GRANADA HILLS"</f>
        <v>GRANADA HILLS</v>
      </c>
      <c r="D90" s="1" t="str">
        <f t="shared" si="11"/>
        <v>CA</v>
      </c>
      <c r="E90" s="2">
        <v>1</v>
      </c>
      <c r="F90" s="2">
        <v>1</v>
      </c>
      <c r="G90" s="2">
        <v>1</v>
      </c>
      <c r="H90" s="2">
        <v>1</v>
      </c>
    </row>
    <row r="91" spans="1:8" x14ac:dyDescent="0.25">
      <c r="A91" s="1" t="str">
        <f>"90605"</f>
        <v>90605</v>
      </c>
      <c r="B91" s="1" t="str">
        <f t="shared" si="10"/>
        <v>31084</v>
      </c>
      <c r="C91" s="1" t="str">
        <f>"WHITTIER"</f>
        <v>WHITTIER</v>
      </c>
      <c r="D91" s="1" t="str">
        <f t="shared" si="11"/>
        <v>CA</v>
      </c>
      <c r="E91" s="2">
        <v>1</v>
      </c>
      <c r="F91" s="2">
        <v>1</v>
      </c>
      <c r="G91" s="2">
        <v>1</v>
      </c>
      <c r="H91" s="2">
        <v>1</v>
      </c>
    </row>
    <row r="92" spans="1:8" x14ac:dyDescent="0.25">
      <c r="A92" s="1" t="str">
        <f>"90406"</f>
        <v>90406</v>
      </c>
      <c r="B92" s="1" t="str">
        <f t="shared" si="10"/>
        <v>31084</v>
      </c>
      <c r="C92" s="1" t="str">
        <f>"SANTA MONICA"</f>
        <v>SANTA MONICA</v>
      </c>
      <c r="D92" s="1" t="str">
        <f t="shared" si="11"/>
        <v>CA</v>
      </c>
      <c r="E92" s="2">
        <v>1</v>
      </c>
      <c r="F92" s="2">
        <v>1</v>
      </c>
      <c r="G92" s="2">
        <v>1</v>
      </c>
      <c r="H92" s="2">
        <v>1</v>
      </c>
    </row>
    <row r="93" spans="1:8" x14ac:dyDescent="0.25">
      <c r="A93" s="1" t="str">
        <f>"90803"</f>
        <v>90803</v>
      </c>
      <c r="B93" s="1" t="str">
        <f t="shared" si="10"/>
        <v>31084</v>
      </c>
      <c r="C93" s="1" t="str">
        <f>"LONG BEACH"</f>
        <v>LONG BEACH</v>
      </c>
      <c r="D93" s="1" t="str">
        <f t="shared" si="11"/>
        <v>CA</v>
      </c>
      <c r="E93" s="2">
        <v>1</v>
      </c>
      <c r="F93" s="2">
        <v>1</v>
      </c>
      <c r="G93" s="2">
        <v>1</v>
      </c>
      <c r="H93" s="2">
        <v>1</v>
      </c>
    </row>
    <row r="94" spans="1:8" x14ac:dyDescent="0.25">
      <c r="A94" s="1" t="str">
        <f>"93552"</f>
        <v>93552</v>
      </c>
      <c r="B94" s="1" t="str">
        <f t="shared" si="10"/>
        <v>31084</v>
      </c>
      <c r="C94" s="1" t="str">
        <f>"PALMDALE"</f>
        <v>PALMDALE</v>
      </c>
      <c r="D94" s="1" t="str">
        <f t="shared" si="11"/>
        <v>CA</v>
      </c>
      <c r="E94" s="2">
        <v>1</v>
      </c>
      <c r="F94" s="2">
        <v>1</v>
      </c>
      <c r="G94" s="2">
        <v>1</v>
      </c>
      <c r="H94" s="2">
        <v>1</v>
      </c>
    </row>
    <row r="95" spans="1:8" x14ac:dyDescent="0.25">
      <c r="A95" s="1" t="str">
        <f>"92805"</f>
        <v>92805</v>
      </c>
      <c r="B95" s="1" t="str">
        <f>"11244"</f>
        <v>11244</v>
      </c>
      <c r="C95" s="1" t="str">
        <f>"ANAHEIM"</f>
        <v>ANAHEIM</v>
      </c>
      <c r="D95" s="1" t="str">
        <f t="shared" si="11"/>
        <v>CA</v>
      </c>
      <c r="E95" s="2">
        <v>1</v>
      </c>
      <c r="F95" s="2">
        <v>1</v>
      </c>
      <c r="G95" s="2">
        <v>1</v>
      </c>
      <c r="H95" s="2">
        <v>1</v>
      </c>
    </row>
    <row r="96" spans="1:8" x14ac:dyDescent="0.25">
      <c r="A96" s="1" t="str">
        <f>"92660"</f>
        <v>92660</v>
      </c>
      <c r="B96" s="1" t="str">
        <f>"11244"</f>
        <v>11244</v>
      </c>
      <c r="C96" s="1" t="str">
        <f>"NEWPORT BEACH"</f>
        <v>NEWPORT BEACH</v>
      </c>
      <c r="D96" s="1" t="str">
        <f t="shared" si="11"/>
        <v>CA</v>
      </c>
      <c r="E96" s="2">
        <v>1</v>
      </c>
      <c r="F96" s="2">
        <v>1</v>
      </c>
      <c r="G96" s="2">
        <v>1</v>
      </c>
      <c r="H96" s="2">
        <v>1</v>
      </c>
    </row>
    <row r="97" spans="1:8" x14ac:dyDescent="0.25">
      <c r="A97" s="1" t="str">
        <f>"91767"</f>
        <v>91767</v>
      </c>
      <c r="B97" s="1" t="str">
        <f>"31084"</f>
        <v>31084</v>
      </c>
      <c r="C97" s="1" t="str">
        <f>"POMONA"</f>
        <v>POMONA</v>
      </c>
      <c r="D97" s="1" t="str">
        <f t="shared" si="11"/>
        <v>CA</v>
      </c>
      <c r="E97" s="2">
        <v>1</v>
      </c>
      <c r="F97" s="2">
        <v>1</v>
      </c>
      <c r="G97" s="2">
        <v>1</v>
      </c>
      <c r="H97" s="2">
        <v>1</v>
      </c>
    </row>
    <row r="98" spans="1:8" x14ac:dyDescent="0.25">
      <c r="A98" s="1" t="str">
        <f>"91766"</f>
        <v>91766</v>
      </c>
      <c r="B98" s="1" t="str">
        <f>"31084"</f>
        <v>31084</v>
      </c>
      <c r="C98" s="1" t="str">
        <f>"POMONA"</f>
        <v>POMONA</v>
      </c>
      <c r="D98" s="1" t="str">
        <f t="shared" si="11"/>
        <v>CA</v>
      </c>
      <c r="E98" s="2">
        <v>1</v>
      </c>
      <c r="F98" s="2">
        <v>1</v>
      </c>
      <c r="G98" s="2">
        <v>1</v>
      </c>
      <c r="H98" s="2">
        <v>1</v>
      </c>
    </row>
    <row r="99" spans="1:8" x14ac:dyDescent="0.25">
      <c r="A99" s="1" t="str">
        <f>"94002"</f>
        <v>94002</v>
      </c>
      <c r="B99" s="1" t="str">
        <f>"41884"</f>
        <v>41884</v>
      </c>
      <c r="C99" s="1" t="str">
        <f>"BELMONT"</f>
        <v>BELMONT</v>
      </c>
      <c r="D99" s="1" t="str">
        <f t="shared" si="11"/>
        <v>CA</v>
      </c>
      <c r="E99" s="2">
        <v>1</v>
      </c>
      <c r="F99" s="2">
        <v>1</v>
      </c>
      <c r="G99" s="2">
        <v>1</v>
      </c>
      <c r="H99" s="2">
        <v>1</v>
      </c>
    </row>
    <row r="100" spans="1:8" x14ac:dyDescent="0.25">
      <c r="A100" s="1" t="str">
        <f>"92612"</f>
        <v>92612</v>
      </c>
      <c r="B100" s="1" t="str">
        <f>"11244"</f>
        <v>11244</v>
      </c>
      <c r="C100" s="1" t="str">
        <f>"IRVINE"</f>
        <v>IRVINE</v>
      </c>
      <c r="D100" s="1" t="str">
        <f t="shared" si="11"/>
        <v>CA</v>
      </c>
      <c r="E100" s="2">
        <v>1</v>
      </c>
      <c r="F100" s="2">
        <v>1</v>
      </c>
      <c r="G100" s="2">
        <v>1</v>
      </c>
      <c r="H100" s="2">
        <v>1</v>
      </c>
    </row>
    <row r="101" spans="1:8" x14ac:dyDescent="0.25">
      <c r="A101" s="1" t="str">
        <f>"94401"</f>
        <v>94401</v>
      </c>
      <c r="B101" s="1" t="str">
        <f>"41884"</f>
        <v>41884</v>
      </c>
      <c r="C101" s="1" t="str">
        <f>"SAN MATEO"</f>
        <v>SAN MATEO</v>
      </c>
      <c r="D101" s="1" t="str">
        <f t="shared" si="11"/>
        <v>CA</v>
      </c>
      <c r="E101" s="2">
        <v>1</v>
      </c>
      <c r="F101" s="2">
        <v>1</v>
      </c>
      <c r="G101" s="2">
        <v>1</v>
      </c>
      <c r="H101" s="2">
        <v>1</v>
      </c>
    </row>
    <row r="102" spans="1:8" x14ac:dyDescent="0.25">
      <c r="A102" s="1" t="str">
        <f>"94804"</f>
        <v>94804</v>
      </c>
      <c r="B102" s="1" t="str">
        <f>"36084"</f>
        <v>36084</v>
      </c>
      <c r="C102" s="1" t="str">
        <f>"RICHMOND"</f>
        <v>RICHMOND</v>
      </c>
      <c r="D102" s="1" t="str">
        <f t="shared" si="11"/>
        <v>CA</v>
      </c>
      <c r="E102" s="2">
        <v>1</v>
      </c>
      <c r="F102" s="2">
        <v>1</v>
      </c>
      <c r="G102" s="2">
        <v>1</v>
      </c>
      <c r="H102" s="2">
        <v>1</v>
      </c>
    </row>
    <row r="103" spans="1:8" x14ac:dyDescent="0.25">
      <c r="A103" s="1" t="str">
        <f>"94586"</f>
        <v>94586</v>
      </c>
      <c r="B103" s="1" t="str">
        <f>"36084"</f>
        <v>36084</v>
      </c>
      <c r="C103" s="1" t="str">
        <f>"SUNOL"</f>
        <v>SUNOL</v>
      </c>
      <c r="D103" s="1" t="str">
        <f t="shared" si="11"/>
        <v>CA</v>
      </c>
      <c r="E103" s="2">
        <v>1</v>
      </c>
      <c r="F103" s="2">
        <v>1</v>
      </c>
      <c r="G103" s="2">
        <v>1</v>
      </c>
      <c r="H103" s="2">
        <v>1</v>
      </c>
    </row>
    <row r="104" spans="1:8" x14ac:dyDescent="0.25">
      <c r="A104" s="1" t="str">
        <f>"98042"</f>
        <v>98042</v>
      </c>
      <c r="B104" s="1" t="str">
        <f t="shared" ref="B104:B109" si="12">"42644"</f>
        <v>42644</v>
      </c>
      <c r="C104" s="1" t="str">
        <f>"KENT"</f>
        <v>KENT</v>
      </c>
      <c r="D104" s="1" t="str">
        <f t="shared" ref="D104:D109" si="13">"WA"</f>
        <v>WA</v>
      </c>
      <c r="E104" s="2">
        <v>1</v>
      </c>
      <c r="F104" s="2">
        <v>1</v>
      </c>
      <c r="G104" s="2">
        <v>1</v>
      </c>
      <c r="H104" s="2">
        <v>1</v>
      </c>
    </row>
    <row r="105" spans="1:8" x14ac:dyDescent="0.25">
      <c r="A105" s="1" t="str">
        <f>"98126"</f>
        <v>98126</v>
      </c>
      <c r="B105" s="1" t="str">
        <f t="shared" si="12"/>
        <v>42644</v>
      </c>
      <c r="C105" s="1" t="str">
        <f>"SEATTLE"</f>
        <v>SEATTLE</v>
      </c>
      <c r="D105" s="1" t="str">
        <f t="shared" si="13"/>
        <v>WA</v>
      </c>
      <c r="E105" s="2">
        <v>1</v>
      </c>
      <c r="F105" s="2">
        <v>1</v>
      </c>
      <c r="G105" s="2">
        <v>1</v>
      </c>
      <c r="H105" s="2">
        <v>1</v>
      </c>
    </row>
    <row r="106" spans="1:8" x14ac:dyDescent="0.25">
      <c r="A106" s="1" t="str">
        <f>"98203"</f>
        <v>98203</v>
      </c>
      <c r="B106" s="1" t="str">
        <f t="shared" si="12"/>
        <v>42644</v>
      </c>
      <c r="C106" s="1" t="str">
        <f>"EVERETT"</f>
        <v>EVERETT</v>
      </c>
      <c r="D106" s="1" t="str">
        <f t="shared" si="13"/>
        <v>WA</v>
      </c>
      <c r="E106" s="2">
        <v>1</v>
      </c>
      <c r="F106" s="2">
        <v>1</v>
      </c>
      <c r="G106" s="2">
        <v>1</v>
      </c>
      <c r="H106" s="2">
        <v>1</v>
      </c>
    </row>
    <row r="107" spans="1:8" x14ac:dyDescent="0.25">
      <c r="A107" s="1" t="str">
        <f>"98103"</f>
        <v>98103</v>
      </c>
      <c r="B107" s="1" t="str">
        <f t="shared" si="12"/>
        <v>42644</v>
      </c>
      <c r="C107" s="1" t="str">
        <f>"SEATTLE"</f>
        <v>SEATTLE</v>
      </c>
      <c r="D107" s="1" t="str">
        <f t="shared" si="13"/>
        <v>WA</v>
      </c>
      <c r="E107" s="2">
        <v>1</v>
      </c>
      <c r="F107" s="2">
        <v>1</v>
      </c>
      <c r="G107" s="2">
        <v>1</v>
      </c>
      <c r="H107" s="2">
        <v>1</v>
      </c>
    </row>
    <row r="108" spans="1:8" x14ac:dyDescent="0.25">
      <c r="A108" s="1" t="str">
        <f>"98089"</f>
        <v>98089</v>
      </c>
      <c r="B108" s="1" t="str">
        <f t="shared" si="12"/>
        <v>42644</v>
      </c>
      <c r="C108" s="1" t="str">
        <f>"KENT"</f>
        <v>KENT</v>
      </c>
      <c r="D108" s="1" t="str">
        <f t="shared" si="13"/>
        <v>WA</v>
      </c>
      <c r="E108" s="2">
        <v>1</v>
      </c>
      <c r="F108" s="2">
        <v>1</v>
      </c>
      <c r="G108" s="2">
        <v>1</v>
      </c>
      <c r="H108" s="2">
        <v>1</v>
      </c>
    </row>
    <row r="109" spans="1:8" x14ac:dyDescent="0.25">
      <c r="A109" s="1" t="str">
        <f>"98117"</f>
        <v>98117</v>
      </c>
      <c r="B109" s="1" t="str">
        <f t="shared" si="12"/>
        <v>42644</v>
      </c>
      <c r="C109" s="1" t="str">
        <f>"SEATTLE"</f>
        <v>SEATTLE</v>
      </c>
      <c r="D109" s="1" t="str">
        <f t="shared" si="13"/>
        <v>WA</v>
      </c>
      <c r="E109" s="2">
        <v>1</v>
      </c>
      <c r="F109" s="2">
        <v>1</v>
      </c>
      <c r="G109" s="2">
        <v>1</v>
      </c>
      <c r="H109" s="2">
        <v>1</v>
      </c>
    </row>
    <row r="110" spans="1:8" x14ac:dyDescent="0.25">
      <c r="A110" s="1" t="str">
        <f>"10008"</f>
        <v>10008</v>
      </c>
      <c r="B110" s="1" t="str">
        <f>"35614"</f>
        <v>35614</v>
      </c>
      <c r="C110" s="1" t="str">
        <f>"NEW YORK"</f>
        <v>NEW YORK</v>
      </c>
      <c r="D110" s="1" t="str">
        <f>"NY"</f>
        <v>NY</v>
      </c>
      <c r="E110" s="2">
        <v>1</v>
      </c>
      <c r="F110" s="2">
        <v>1</v>
      </c>
      <c r="G110" s="2">
        <v>1</v>
      </c>
      <c r="H110" s="2">
        <v>1</v>
      </c>
    </row>
    <row r="111" spans="1:8" x14ac:dyDescent="0.25">
      <c r="A111" s="1" t="str">
        <f>"10115"</f>
        <v>10115</v>
      </c>
      <c r="B111" s="1" t="str">
        <f>"35614"</f>
        <v>35614</v>
      </c>
      <c r="C111" s="1" t="str">
        <f>"NEW YORK"</f>
        <v>NEW YORK</v>
      </c>
      <c r="D111" s="1" t="str">
        <f>"NY"</f>
        <v>NY</v>
      </c>
      <c r="E111" s="2">
        <v>0</v>
      </c>
      <c r="F111" s="2">
        <v>1</v>
      </c>
      <c r="G111" s="2">
        <v>1</v>
      </c>
      <c r="H111" s="2">
        <v>1</v>
      </c>
    </row>
    <row r="112" spans="1:8" x14ac:dyDescent="0.25">
      <c r="A112" s="1" t="str">
        <f>"19153"</f>
        <v>19153</v>
      </c>
      <c r="B112" s="1" t="str">
        <f>"37964"</f>
        <v>37964</v>
      </c>
      <c r="C112" s="1" t="str">
        <f>"PHILADELPHIA"</f>
        <v>PHILADELPHIA</v>
      </c>
      <c r="D112" s="1" t="str">
        <f>"PA"</f>
        <v>PA</v>
      </c>
      <c r="E112" s="2">
        <v>1</v>
      </c>
      <c r="F112" s="2">
        <v>1</v>
      </c>
      <c r="G112" s="2">
        <v>1</v>
      </c>
      <c r="H112" s="2">
        <v>1</v>
      </c>
    </row>
    <row r="113" spans="1:8" x14ac:dyDescent="0.25">
      <c r="A113" s="1" t="str">
        <f>"19706"</f>
        <v>19706</v>
      </c>
      <c r="B113" s="1" t="str">
        <f>"48864"</f>
        <v>48864</v>
      </c>
      <c r="C113" s="1" t="str">
        <f>"DELAWARE CITY"</f>
        <v>DELAWARE CITY</v>
      </c>
      <c r="D113" s="1" t="str">
        <f>"DE"</f>
        <v>DE</v>
      </c>
      <c r="E113" s="2">
        <v>1</v>
      </c>
      <c r="F113" s="2">
        <v>1</v>
      </c>
      <c r="G113" s="2">
        <v>1</v>
      </c>
      <c r="H113" s="2">
        <v>1</v>
      </c>
    </row>
    <row r="114" spans="1:8" x14ac:dyDescent="0.25">
      <c r="A114" s="1" t="str">
        <f>"19938"</f>
        <v>19938</v>
      </c>
      <c r="B114" s="1" t="str">
        <f>"48864"</f>
        <v>48864</v>
      </c>
      <c r="C114" s="1" t="str">
        <f>"CLAYTON"</f>
        <v>CLAYTON</v>
      </c>
      <c r="D114" s="1" t="str">
        <f>"DE"</f>
        <v>DE</v>
      </c>
      <c r="E114" s="2">
        <v>1</v>
      </c>
      <c r="F114" s="2">
        <v>1</v>
      </c>
      <c r="G114" s="2">
        <v>0</v>
      </c>
      <c r="H114" s="2">
        <v>1</v>
      </c>
    </row>
    <row r="115" spans="1:8" x14ac:dyDescent="0.25">
      <c r="A115" s="1" t="str">
        <f>"20818"</f>
        <v>20818</v>
      </c>
      <c r="B115" s="1" t="str">
        <f>"23224"</f>
        <v>23224</v>
      </c>
      <c r="C115" s="1" t="str">
        <f>"CABIN JOHN"</f>
        <v>CABIN JOHN</v>
      </c>
      <c r="D115" s="1" t="str">
        <f>"MD"</f>
        <v>MD</v>
      </c>
      <c r="E115" s="2">
        <v>1</v>
      </c>
      <c r="F115" s="2">
        <v>1</v>
      </c>
      <c r="G115" s="2">
        <v>1</v>
      </c>
      <c r="H115" s="2">
        <v>1</v>
      </c>
    </row>
    <row r="116" spans="1:8" x14ac:dyDescent="0.25">
      <c r="A116" s="1" t="str">
        <f>"22313"</f>
        <v>22313</v>
      </c>
      <c r="B116" s="1" t="str">
        <f>"47894"</f>
        <v>47894</v>
      </c>
      <c r="C116" s="1" t="str">
        <f>"ALEXANDRIA"</f>
        <v>ALEXANDRIA</v>
      </c>
      <c r="D116" s="1" t="str">
        <f>"VA"</f>
        <v>VA</v>
      </c>
      <c r="E116" s="2">
        <v>1</v>
      </c>
      <c r="F116" s="2">
        <v>1</v>
      </c>
      <c r="G116" s="2">
        <v>1</v>
      </c>
      <c r="H116" s="2">
        <v>1</v>
      </c>
    </row>
    <row r="117" spans="1:8" x14ac:dyDescent="0.25">
      <c r="A117" s="1" t="str">
        <f>"92678"</f>
        <v>92678</v>
      </c>
      <c r="B117" s="1" t="str">
        <f>"11244"</f>
        <v>11244</v>
      </c>
      <c r="C117" s="1" t="str">
        <f>"TRABUCO CANYON"</f>
        <v>TRABUCO CANYON</v>
      </c>
      <c r="D117" s="1" t="str">
        <f>"CA"</f>
        <v>CA</v>
      </c>
      <c r="E117" s="2">
        <v>1</v>
      </c>
      <c r="F117" s="2">
        <v>1</v>
      </c>
      <c r="G117" s="2">
        <v>1</v>
      </c>
      <c r="H117" s="2">
        <v>1</v>
      </c>
    </row>
    <row r="118" spans="1:8" x14ac:dyDescent="0.25">
      <c r="A118" s="1" t="str">
        <f>"91788"</f>
        <v>91788</v>
      </c>
      <c r="B118" s="1" t="str">
        <f>"31084"</f>
        <v>31084</v>
      </c>
      <c r="C118" s="1" t="str">
        <f>"WALNUT"</f>
        <v>WALNUT</v>
      </c>
      <c r="D118" s="1" t="str">
        <f>"CA"</f>
        <v>CA</v>
      </c>
      <c r="E118" s="2">
        <v>1</v>
      </c>
      <c r="F118" s="2">
        <v>1</v>
      </c>
      <c r="G118" s="2">
        <v>1</v>
      </c>
      <c r="H118" s="2">
        <v>1</v>
      </c>
    </row>
    <row r="119" spans="1:8" x14ac:dyDescent="0.25">
      <c r="A119" s="1" t="str">
        <f>"94537"</f>
        <v>94537</v>
      </c>
      <c r="B119" s="1" t="str">
        <f>"36084"</f>
        <v>36084</v>
      </c>
      <c r="C119" s="1" t="str">
        <f>"FREMONT"</f>
        <v>FREMONT</v>
      </c>
      <c r="D119" s="1" t="str">
        <f>"CA"</f>
        <v>CA</v>
      </c>
      <c r="E119" s="2">
        <v>1</v>
      </c>
      <c r="F119" s="2">
        <v>1</v>
      </c>
      <c r="G119" s="2">
        <v>1</v>
      </c>
      <c r="H119" s="2">
        <v>1</v>
      </c>
    </row>
    <row r="120" spans="1:8" x14ac:dyDescent="0.25">
      <c r="A120" s="1" t="str">
        <f>"98062"</f>
        <v>98062</v>
      </c>
      <c r="B120" s="1" t="str">
        <f>"42644"</f>
        <v>42644</v>
      </c>
      <c r="C120" s="1" t="str">
        <f>"SEAHURST"</f>
        <v>SEAHURST</v>
      </c>
      <c r="D120" s="1" t="str">
        <f>"WA"</f>
        <v>WA</v>
      </c>
      <c r="E120" s="2">
        <v>1</v>
      </c>
      <c r="F120" s="2">
        <v>1</v>
      </c>
      <c r="G120" s="2">
        <v>1</v>
      </c>
      <c r="H120" s="2">
        <v>1</v>
      </c>
    </row>
    <row r="121" spans="1:8" x14ac:dyDescent="0.25">
      <c r="A121" s="1" t="str">
        <f>"07207"</f>
        <v>07207</v>
      </c>
      <c r="B121" s="1" t="str">
        <f>"35084"</f>
        <v>35084</v>
      </c>
      <c r="C121" s="1" t="str">
        <f>"ELIZABETH"</f>
        <v>ELIZABETH</v>
      </c>
      <c r="D121" s="1" t="str">
        <f>"NJ"</f>
        <v>NJ</v>
      </c>
      <c r="E121" s="2">
        <v>1</v>
      </c>
      <c r="F121" s="2">
        <v>1</v>
      </c>
      <c r="G121" s="2">
        <v>1</v>
      </c>
      <c r="H121" s="2">
        <v>1</v>
      </c>
    </row>
    <row r="122" spans="1:8" x14ac:dyDescent="0.25">
      <c r="A122" s="1" t="str">
        <f>"11970"</f>
        <v>11970</v>
      </c>
      <c r="B122" s="1" t="str">
        <f>"35004"</f>
        <v>35004</v>
      </c>
      <c r="C122" s="1" t="str">
        <f>"SOUTH JAMESPORT"</f>
        <v>SOUTH JAMESPORT</v>
      </c>
      <c r="D122" s="1" t="str">
        <f>"NY"</f>
        <v>NY</v>
      </c>
      <c r="E122" s="2">
        <v>1</v>
      </c>
      <c r="F122" s="2">
        <v>0</v>
      </c>
      <c r="G122" s="2">
        <v>1</v>
      </c>
      <c r="H122" s="2">
        <v>1</v>
      </c>
    </row>
    <row r="123" spans="1:8" x14ac:dyDescent="0.25">
      <c r="A123" s="1" t="str">
        <f>"20693"</f>
        <v>20693</v>
      </c>
      <c r="B123" s="1" t="str">
        <f>"47894"</f>
        <v>47894</v>
      </c>
      <c r="C123" s="1" t="str">
        <f>"WELCOME"</f>
        <v>WELCOME</v>
      </c>
      <c r="D123" s="1" t="str">
        <f>"MD"</f>
        <v>MD</v>
      </c>
      <c r="E123" s="2">
        <v>1</v>
      </c>
      <c r="F123" s="2">
        <v>1</v>
      </c>
      <c r="G123" s="2">
        <v>1</v>
      </c>
      <c r="H123" s="2">
        <v>1</v>
      </c>
    </row>
    <row r="124" spans="1:8" x14ac:dyDescent="0.25">
      <c r="A124" s="1" t="str">
        <f>"20195"</f>
        <v>20195</v>
      </c>
      <c r="B124" s="1" t="str">
        <f>"47894"</f>
        <v>47894</v>
      </c>
      <c r="C124" s="1" t="str">
        <f>"RESTON"</f>
        <v>RESTON</v>
      </c>
      <c r="D124" s="1" t="str">
        <f>"VA"</f>
        <v>VA</v>
      </c>
      <c r="E124" s="2">
        <v>1</v>
      </c>
      <c r="F124" s="2">
        <v>1</v>
      </c>
      <c r="G124" s="2">
        <v>1</v>
      </c>
      <c r="H124" s="2">
        <v>1</v>
      </c>
    </row>
    <row r="125" spans="1:8" x14ac:dyDescent="0.25">
      <c r="A125" s="1" t="str">
        <f>"33488"</f>
        <v>33488</v>
      </c>
      <c r="B125" s="1" t="str">
        <f>"48424"</f>
        <v>48424</v>
      </c>
      <c r="C125" s="1" t="str">
        <f>"BOCA RATON"</f>
        <v>BOCA RATON</v>
      </c>
      <c r="D125" s="1" t="str">
        <f>"FL"</f>
        <v>FL</v>
      </c>
      <c r="E125" s="2">
        <v>1</v>
      </c>
      <c r="F125" s="2">
        <v>1</v>
      </c>
      <c r="G125" s="2">
        <v>1</v>
      </c>
      <c r="H125" s="2">
        <v>1</v>
      </c>
    </row>
    <row r="126" spans="1:8" x14ac:dyDescent="0.25">
      <c r="A126" s="1" t="str">
        <f>"90294"</f>
        <v>90294</v>
      </c>
      <c r="B126" s="1" t="str">
        <f>"31084"</f>
        <v>31084</v>
      </c>
      <c r="C126" s="1" t="str">
        <f>"VENICE"</f>
        <v>VENICE</v>
      </c>
      <c r="D126" s="1" t="str">
        <f>"CA"</f>
        <v>CA</v>
      </c>
      <c r="E126" s="2">
        <v>1</v>
      </c>
      <c r="F126" s="2">
        <v>1</v>
      </c>
      <c r="G126" s="2">
        <v>1</v>
      </c>
      <c r="H126" s="2">
        <v>1</v>
      </c>
    </row>
    <row r="127" spans="1:8" x14ac:dyDescent="0.25">
      <c r="A127" s="1" t="str">
        <f>"91115"</f>
        <v>91115</v>
      </c>
      <c r="B127" s="1" t="str">
        <f>"31084"</f>
        <v>31084</v>
      </c>
      <c r="C127" s="1" t="str">
        <f>"PASADENA"</f>
        <v>PASADENA</v>
      </c>
      <c r="D127" s="1" t="str">
        <f>"CA"</f>
        <v>CA</v>
      </c>
      <c r="E127" s="2">
        <v>1</v>
      </c>
      <c r="F127" s="2">
        <v>1</v>
      </c>
      <c r="G127" s="2">
        <v>1</v>
      </c>
      <c r="H127" s="2">
        <v>1</v>
      </c>
    </row>
    <row r="128" spans="1:8" x14ac:dyDescent="0.25">
      <c r="A128" s="1" t="str">
        <f>"91226"</f>
        <v>91226</v>
      </c>
      <c r="B128" s="1" t="str">
        <f>"31084"</f>
        <v>31084</v>
      </c>
      <c r="C128" s="1" t="str">
        <f>"GLENDALE"</f>
        <v>GLENDALE</v>
      </c>
      <c r="D128" s="1" t="str">
        <f>"CA"</f>
        <v>CA</v>
      </c>
      <c r="E128" s="2">
        <v>1</v>
      </c>
      <c r="F128" s="2">
        <v>1</v>
      </c>
      <c r="G128" s="2">
        <v>1</v>
      </c>
      <c r="H128" s="2">
        <v>1</v>
      </c>
    </row>
    <row r="129" spans="1:8" x14ac:dyDescent="0.25">
      <c r="A129" s="1" t="str">
        <f>"98009"</f>
        <v>98009</v>
      </c>
      <c r="B129" s="1" t="str">
        <f>"42644"</f>
        <v>42644</v>
      </c>
      <c r="C129" s="1" t="str">
        <f>"BELLEVUE"</f>
        <v>BELLEVUE</v>
      </c>
      <c r="D129" s="1" t="str">
        <f>"WA"</f>
        <v>WA</v>
      </c>
      <c r="E129" s="2">
        <v>1</v>
      </c>
      <c r="F129" s="2">
        <v>1</v>
      </c>
      <c r="G129" s="2">
        <v>1</v>
      </c>
      <c r="H129" s="2">
        <v>1</v>
      </c>
    </row>
    <row r="130" spans="1:8" x14ac:dyDescent="0.25">
      <c r="A130" s="1" t="str">
        <f>"11352"</f>
        <v>11352</v>
      </c>
      <c r="B130" s="1" t="str">
        <f>"35614"</f>
        <v>35614</v>
      </c>
      <c r="C130" s="1" t="str">
        <f>"FLUSHING"</f>
        <v>FLUSHING</v>
      </c>
      <c r="D130" s="1" t="str">
        <f>"NY"</f>
        <v>NY</v>
      </c>
      <c r="E130" s="2">
        <v>1</v>
      </c>
      <c r="F130" s="2">
        <v>1</v>
      </c>
      <c r="G130" s="2">
        <v>1</v>
      </c>
      <c r="H130" s="2">
        <v>1</v>
      </c>
    </row>
    <row r="131" spans="1:8" x14ac:dyDescent="0.25">
      <c r="A131" s="1" t="str">
        <f>"61038"</f>
        <v>61038</v>
      </c>
      <c r="B131" s="1" t="str">
        <f>"16984"</f>
        <v>16984</v>
      </c>
      <c r="C131" s="1" t="str">
        <f>"GARDEN PRAIRIE"</f>
        <v>GARDEN PRAIRIE</v>
      </c>
      <c r="D131" s="1" t="str">
        <f>"IL"</f>
        <v>IL</v>
      </c>
      <c r="E131" s="2">
        <v>1</v>
      </c>
      <c r="F131" s="2">
        <v>0</v>
      </c>
      <c r="G131" s="2">
        <v>0</v>
      </c>
      <c r="H131" s="2">
        <v>1</v>
      </c>
    </row>
    <row r="132" spans="1:8" x14ac:dyDescent="0.25">
      <c r="A132" s="1" t="str">
        <f>"02027"</f>
        <v>02027</v>
      </c>
      <c r="B132" s="1" t="str">
        <f>"14454"</f>
        <v>14454</v>
      </c>
      <c r="C132" s="1" t="str">
        <f>"DEDHAM"</f>
        <v>DEDHAM</v>
      </c>
      <c r="D132" s="1" t="str">
        <f>"MA"</f>
        <v>MA</v>
      </c>
      <c r="E132" s="2">
        <v>1</v>
      </c>
      <c r="F132" s="2">
        <v>1</v>
      </c>
      <c r="G132" s="2">
        <v>1</v>
      </c>
      <c r="H132" s="2">
        <v>1</v>
      </c>
    </row>
    <row r="133" spans="1:8" x14ac:dyDescent="0.25">
      <c r="A133" s="1" t="str">
        <f>"02361"</f>
        <v>02361</v>
      </c>
      <c r="B133" s="1" t="str">
        <f>"14454"</f>
        <v>14454</v>
      </c>
      <c r="C133" s="1" t="str">
        <f>"PLYMOUTH"</f>
        <v>PLYMOUTH</v>
      </c>
      <c r="D133" s="1" t="str">
        <f>"MA"</f>
        <v>MA</v>
      </c>
      <c r="E133" s="2">
        <v>1</v>
      </c>
      <c r="F133" s="2">
        <v>1</v>
      </c>
      <c r="G133" s="2">
        <v>1</v>
      </c>
      <c r="H133" s="2">
        <v>1</v>
      </c>
    </row>
    <row r="134" spans="1:8" x14ac:dyDescent="0.25">
      <c r="A134" s="1" t="str">
        <f>"08099"</f>
        <v>08099</v>
      </c>
      <c r="B134" s="1" t="str">
        <f>"15804"</f>
        <v>15804</v>
      </c>
      <c r="C134" s="1" t="str">
        <f>"BELLMAWR"</f>
        <v>BELLMAWR</v>
      </c>
      <c r="D134" s="1" t="str">
        <f>"NJ"</f>
        <v>NJ</v>
      </c>
      <c r="E134" s="2">
        <v>1</v>
      </c>
      <c r="F134" s="2">
        <v>1</v>
      </c>
      <c r="G134" s="2">
        <v>1</v>
      </c>
      <c r="H134" s="2">
        <v>1</v>
      </c>
    </row>
    <row r="135" spans="1:8" x14ac:dyDescent="0.25">
      <c r="A135" s="1" t="str">
        <f>"10110"</f>
        <v>10110</v>
      </c>
      <c r="B135" s="1" t="str">
        <f>"35614"</f>
        <v>35614</v>
      </c>
      <c r="C135" s="1" t="str">
        <f>"NEW YORK"</f>
        <v>NEW YORK</v>
      </c>
      <c r="D135" s="1" t="str">
        <f>"NY"</f>
        <v>NY</v>
      </c>
      <c r="E135" s="2">
        <v>0</v>
      </c>
      <c r="F135" s="2">
        <v>1</v>
      </c>
      <c r="G135" s="2">
        <v>1</v>
      </c>
      <c r="H135" s="2">
        <v>1</v>
      </c>
    </row>
    <row r="136" spans="1:8" x14ac:dyDescent="0.25">
      <c r="A136" s="1" t="str">
        <f>"10537"</f>
        <v>10537</v>
      </c>
      <c r="B136" s="1" t="str">
        <f>"35614"</f>
        <v>35614</v>
      </c>
      <c r="C136" s="1" t="str">
        <f>"LAKE PEEKSKILL"</f>
        <v>LAKE PEEKSKILL</v>
      </c>
      <c r="D136" s="1" t="str">
        <f>"NY"</f>
        <v>NY</v>
      </c>
      <c r="E136" s="2">
        <v>1</v>
      </c>
      <c r="F136" s="2">
        <v>1</v>
      </c>
      <c r="G136" s="2">
        <v>1</v>
      </c>
      <c r="H136" s="2">
        <v>1</v>
      </c>
    </row>
    <row r="137" spans="1:8" x14ac:dyDescent="0.25">
      <c r="A137" s="1" t="str">
        <f>"18070"</f>
        <v>18070</v>
      </c>
      <c r="B137" s="1" t="str">
        <f>"33874"</f>
        <v>33874</v>
      </c>
      <c r="C137" s="1" t="str">
        <f>"PALM"</f>
        <v>PALM</v>
      </c>
      <c r="D137" s="1" t="str">
        <f>"PA"</f>
        <v>PA</v>
      </c>
      <c r="E137" s="2">
        <v>1</v>
      </c>
      <c r="F137" s="2">
        <v>1</v>
      </c>
      <c r="G137" s="2">
        <v>1</v>
      </c>
      <c r="H137" s="2">
        <v>1</v>
      </c>
    </row>
    <row r="138" spans="1:8" x14ac:dyDescent="0.25">
      <c r="A138" s="1" t="str">
        <f>"18912"</f>
        <v>18912</v>
      </c>
      <c r="B138" s="1" t="str">
        <f>"33874"</f>
        <v>33874</v>
      </c>
      <c r="C138" s="1" t="str">
        <f>"BUCKINGHAM"</f>
        <v>BUCKINGHAM</v>
      </c>
      <c r="D138" s="1" t="str">
        <f>"PA"</f>
        <v>PA</v>
      </c>
      <c r="E138" s="2">
        <v>1</v>
      </c>
      <c r="F138" s="2">
        <v>1</v>
      </c>
      <c r="G138" s="2">
        <v>1</v>
      </c>
      <c r="H138" s="2">
        <v>1</v>
      </c>
    </row>
    <row r="139" spans="1:8" x14ac:dyDescent="0.25">
      <c r="A139" s="1" t="str">
        <f>"33238"</f>
        <v>33238</v>
      </c>
      <c r="B139" s="1" t="str">
        <f>"33124"</f>
        <v>33124</v>
      </c>
      <c r="C139" s="1" t="str">
        <f>"MIAMI"</f>
        <v>MIAMI</v>
      </c>
      <c r="D139" s="1" t="str">
        <f>"FL"</f>
        <v>FL</v>
      </c>
      <c r="E139" s="2">
        <v>1</v>
      </c>
      <c r="F139" s="2">
        <v>1</v>
      </c>
      <c r="G139" s="2">
        <v>1</v>
      </c>
      <c r="H139" s="2">
        <v>1</v>
      </c>
    </row>
    <row r="140" spans="1:8" x14ac:dyDescent="0.25">
      <c r="A140" s="1" t="str">
        <f>"94060"</f>
        <v>94060</v>
      </c>
      <c r="B140" s="1" t="str">
        <f>"41884"</f>
        <v>41884</v>
      </c>
      <c r="C140" s="1" t="str">
        <f>"PESCADERO"</f>
        <v>PESCADERO</v>
      </c>
      <c r="D140" s="1" t="str">
        <f>"CA"</f>
        <v>CA</v>
      </c>
      <c r="E140" s="2">
        <v>1</v>
      </c>
      <c r="F140" s="2">
        <v>1</v>
      </c>
      <c r="G140" s="2">
        <v>1</v>
      </c>
      <c r="H140" s="2">
        <v>1</v>
      </c>
    </row>
    <row r="141" spans="1:8" x14ac:dyDescent="0.25">
      <c r="A141" s="1" t="str">
        <f>"20775"</f>
        <v>20775</v>
      </c>
      <c r="B141" s="1" t="str">
        <f>"47894"</f>
        <v>47894</v>
      </c>
      <c r="C141" s="1" t="str">
        <f>"UPPER MARLBORO"</f>
        <v>UPPER MARLBORO</v>
      </c>
      <c r="D141" s="1" t="str">
        <f>"MD"</f>
        <v>MD</v>
      </c>
      <c r="E141" s="2">
        <v>1</v>
      </c>
      <c r="F141" s="2">
        <v>1</v>
      </c>
      <c r="G141" s="2">
        <v>1</v>
      </c>
      <c r="H141" s="2">
        <v>1</v>
      </c>
    </row>
    <row r="142" spans="1:8" x14ac:dyDescent="0.25">
      <c r="A142" s="1" t="str">
        <f>"48321"</f>
        <v>48321</v>
      </c>
      <c r="B142" s="1" t="str">
        <f>"47664"</f>
        <v>47664</v>
      </c>
      <c r="C142" s="1" t="str">
        <f>"AUBURN HILLS"</f>
        <v>AUBURN HILLS</v>
      </c>
      <c r="D142" s="1" t="str">
        <f>"MI"</f>
        <v>MI</v>
      </c>
      <c r="E142" s="2">
        <v>1</v>
      </c>
      <c r="F142" s="2">
        <v>1</v>
      </c>
      <c r="G142" s="2">
        <v>1</v>
      </c>
      <c r="H142" s="2">
        <v>1</v>
      </c>
    </row>
    <row r="143" spans="1:8" x14ac:dyDescent="0.25">
      <c r="A143" s="1" t="str">
        <f>"02018"</f>
        <v>02018</v>
      </c>
      <c r="B143" s="1" t="str">
        <f>"14454"</f>
        <v>14454</v>
      </c>
      <c r="C143" s="1" t="str">
        <f>"ACCORD"</f>
        <v>ACCORD</v>
      </c>
      <c r="D143" s="1" t="str">
        <f>"MA"</f>
        <v>MA</v>
      </c>
      <c r="E143" s="2">
        <v>1</v>
      </c>
      <c r="F143" s="2">
        <v>1</v>
      </c>
      <c r="G143" s="2">
        <v>1</v>
      </c>
      <c r="H143" s="2">
        <v>1</v>
      </c>
    </row>
    <row r="144" spans="1:8" x14ac:dyDescent="0.25">
      <c r="A144" s="1" t="str">
        <f>"08224"</f>
        <v>08224</v>
      </c>
      <c r="B144" s="1" t="str">
        <f>"15804"</f>
        <v>15804</v>
      </c>
      <c r="C144" s="1" t="str">
        <f>"NEW GRETNA"</f>
        <v>NEW GRETNA</v>
      </c>
      <c r="D144" s="1" t="str">
        <f>"NJ"</f>
        <v>NJ</v>
      </c>
      <c r="E144" s="2">
        <v>1</v>
      </c>
      <c r="F144" s="2">
        <v>0</v>
      </c>
      <c r="G144" s="2">
        <v>1</v>
      </c>
      <c r="H144" s="2">
        <v>1</v>
      </c>
    </row>
    <row r="145" spans="1:8" x14ac:dyDescent="0.25">
      <c r="A145" s="1" t="str">
        <f>"60935"</f>
        <v>60935</v>
      </c>
      <c r="B145" s="1" t="str">
        <f>"16984"</f>
        <v>16984</v>
      </c>
      <c r="C145" s="1" t="str">
        <f>"ESSEX"</f>
        <v>ESSEX</v>
      </c>
      <c r="D145" s="1" t="str">
        <f>"IL"</f>
        <v>IL</v>
      </c>
      <c r="E145" s="2">
        <v>1</v>
      </c>
      <c r="F145" s="2">
        <v>0</v>
      </c>
      <c r="G145" s="2">
        <v>0</v>
      </c>
      <c r="H145" s="2">
        <v>1</v>
      </c>
    </row>
    <row r="146" spans="1:8" x14ac:dyDescent="0.25">
      <c r="A146" s="1" t="str">
        <f>"18932"</f>
        <v>18932</v>
      </c>
      <c r="B146" s="1" t="str">
        <f>"33874"</f>
        <v>33874</v>
      </c>
      <c r="C146" s="1" t="str">
        <f>"LINE LEXINGTON"</f>
        <v>LINE LEXINGTON</v>
      </c>
      <c r="D146" s="1" t="str">
        <f>"PA"</f>
        <v>PA</v>
      </c>
      <c r="E146" s="2">
        <v>1</v>
      </c>
      <c r="F146" s="2">
        <v>1</v>
      </c>
      <c r="G146" s="2">
        <v>1</v>
      </c>
      <c r="H146" s="2">
        <v>1</v>
      </c>
    </row>
    <row r="147" spans="1:8" x14ac:dyDescent="0.25">
      <c r="A147" s="1" t="str">
        <f>"95377"</f>
        <v>95377</v>
      </c>
      <c r="B147" s="1" t="str">
        <f>"36084"</f>
        <v>36084</v>
      </c>
      <c r="C147" s="1" t="str">
        <f>"TRACY"</f>
        <v>TRACY</v>
      </c>
      <c r="D147" s="1" t="str">
        <f>"CA"</f>
        <v>CA</v>
      </c>
      <c r="E147" s="2">
        <v>1</v>
      </c>
      <c r="F147" s="2">
        <v>1</v>
      </c>
      <c r="G147" s="2">
        <v>0</v>
      </c>
      <c r="H147" s="2">
        <v>1</v>
      </c>
    </row>
    <row r="148" spans="1:8" x14ac:dyDescent="0.25">
      <c r="A148" s="1" t="str">
        <f>"20527"</f>
        <v>20527</v>
      </c>
      <c r="B148" s="1" t="str">
        <f>"47894"</f>
        <v>47894</v>
      </c>
      <c r="C148" s="1" t="str">
        <f>"WASHINGTON"</f>
        <v>WASHINGTON</v>
      </c>
      <c r="D148" s="1" t="str">
        <f>"DC"</f>
        <v>DC</v>
      </c>
      <c r="E148" s="2">
        <v>0</v>
      </c>
      <c r="F148" s="2">
        <v>1</v>
      </c>
      <c r="G148" s="2">
        <v>0</v>
      </c>
      <c r="H148" s="2">
        <v>1</v>
      </c>
    </row>
    <row r="149" spans="1:8" x14ac:dyDescent="0.25">
      <c r="A149" s="1" t="str">
        <f>"20530"</f>
        <v>20530</v>
      </c>
      <c r="B149" s="1" t="str">
        <f>"47894"</f>
        <v>47894</v>
      </c>
      <c r="C149" s="1" t="str">
        <f>"WASHINGTON"</f>
        <v>WASHINGTON</v>
      </c>
      <c r="D149" s="1" t="str">
        <f>"DC"</f>
        <v>DC</v>
      </c>
      <c r="E149" s="2">
        <v>0</v>
      </c>
      <c r="F149" s="2">
        <v>1</v>
      </c>
      <c r="G149" s="2">
        <v>1</v>
      </c>
      <c r="H149" s="2">
        <v>1</v>
      </c>
    </row>
    <row r="150" spans="1:8" x14ac:dyDescent="0.25">
      <c r="A150" s="1" t="str">
        <f>"91772"</f>
        <v>91772</v>
      </c>
      <c r="B150" s="1" t="str">
        <f>"31084"</f>
        <v>31084</v>
      </c>
      <c r="C150" s="1" t="str">
        <f>"ROSEMEAD"</f>
        <v>ROSEMEAD</v>
      </c>
      <c r="D150" s="1" t="str">
        <f>"CA"</f>
        <v>CA</v>
      </c>
      <c r="E150" s="2">
        <v>0</v>
      </c>
      <c r="F150" s="2">
        <v>1</v>
      </c>
      <c r="G150" s="2">
        <v>0</v>
      </c>
      <c r="H150" s="2">
        <v>1</v>
      </c>
    </row>
    <row r="151" spans="1:8" x14ac:dyDescent="0.25">
      <c r="A151" s="1" t="str">
        <f>"21797"</f>
        <v>21797</v>
      </c>
      <c r="B151" s="1" t="str">
        <f>"23224"</f>
        <v>23224</v>
      </c>
      <c r="C151" s="1" t="str">
        <f>"WOODBINE"</f>
        <v>WOODBINE</v>
      </c>
      <c r="D151" s="1" t="str">
        <f>"MD"</f>
        <v>MD</v>
      </c>
      <c r="E151" s="2">
        <v>1</v>
      </c>
      <c r="F151" s="2">
        <v>0</v>
      </c>
      <c r="G151" s="2">
        <v>0</v>
      </c>
      <c r="H151" s="2">
        <v>1</v>
      </c>
    </row>
    <row r="152" spans="1:8" x14ac:dyDescent="0.25">
      <c r="A152" s="1" t="str">
        <f>"22972"</f>
        <v>22972</v>
      </c>
      <c r="B152" s="1" t="str">
        <f>"47894"</f>
        <v>47894</v>
      </c>
      <c r="C152" s="1" t="str">
        <f>"SOMERSET"</f>
        <v>SOMERSET</v>
      </c>
      <c r="D152" s="1" t="str">
        <f>"VA"</f>
        <v>VA</v>
      </c>
      <c r="E152" s="2">
        <v>1</v>
      </c>
      <c r="F152" s="2">
        <v>0</v>
      </c>
      <c r="G152" s="2">
        <v>0</v>
      </c>
      <c r="H152" s="2">
        <v>1</v>
      </c>
    </row>
    <row r="153" spans="1:8" x14ac:dyDescent="0.25">
      <c r="A153" s="1" t="str">
        <f>"19898"</f>
        <v>19898</v>
      </c>
      <c r="B153" s="1" t="str">
        <f>"48864"</f>
        <v>48864</v>
      </c>
      <c r="C153" s="1" t="str">
        <f>"WILMINGTON"</f>
        <v>WILMINGTON</v>
      </c>
      <c r="D153" s="1" t="str">
        <f>"DE"</f>
        <v>DE</v>
      </c>
      <c r="E153" s="2">
        <v>0</v>
      </c>
      <c r="F153" s="2">
        <v>1</v>
      </c>
      <c r="G153" s="2">
        <v>0</v>
      </c>
      <c r="H153" s="2">
        <v>1</v>
      </c>
    </row>
    <row r="154" spans="1:8" x14ac:dyDescent="0.25">
      <c r="A154" s="1" t="str">
        <f>"08933"</f>
        <v>08933</v>
      </c>
      <c r="B154" s="1" t="str">
        <f>"35154"</f>
        <v>35154</v>
      </c>
      <c r="C154" s="1" t="str">
        <f>"NEW BRUNSWICK"</f>
        <v>NEW BRUNSWICK</v>
      </c>
      <c r="D154" s="1" t="str">
        <f>"NJ"</f>
        <v>NJ</v>
      </c>
      <c r="E154" s="2">
        <v>0</v>
      </c>
      <c r="F154" s="2">
        <v>1</v>
      </c>
      <c r="G154" s="2">
        <v>0</v>
      </c>
      <c r="H154" s="2">
        <v>1</v>
      </c>
    </row>
    <row r="155" spans="1:8" x14ac:dyDescent="0.25">
      <c r="A155" s="1" t="str">
        <f>"90073"</f>
        <v>90073</v>
      </c>
      <c r="B155" s="1" t="str">
        <f>"31084"</f>
        <v>31084</v>
      </c>
      <c r="C155" s="1" t="str">
        <f>"LOS ANGELES"</f>
        <v>LOS ANGELES</v>
      </c>
      <c r="D155" s="1" t="str">
        <f>"CA"</f>
        <v>CA</v>
      </c>
      <c r="E155" s="2">
        <v>0</v>
      </c>
      <c r="F155" s="2">
        <v>1</v>
      </c>
      <c r="G155" s="2">
        <v>1</v>
      </c>
      <c r="H155" s="2">
        <v>1</v>
      </c>
    </row>
    <row r="156" spans="1:8" x14ac:dyDescent="0.25">
      <c r="A156" s="1" t="str">
        <f>"91899"</f>
        <v>91899</v>
      </c>
      <c r="B156" s="1" t="str">
        <f>"31084"</f>
        <v>31084</v>
      </c>
      <c r="C156" s="1" t="str">
        <f>"ALHAMBRA"</f>
        <v>ALHAMBRA</v>
      </c>
      <c r="D156" s="1" t="str">
        <f>"CA"</f>
        <v>CA</v>
      </c>
      <c r="E156" s="2">
        <v>0</v>
      </c>
      <c r="F156" s="2">
        <v>0</v>
      </c>
      <c r="G156" s="2">
        <v>1</v>
      </c>
      <c r="H156" s="2">
        <v>1</v>
      </c>
    </row>
    <row r="157" spans="1:8" x14ac:dyDescent="0.25">
      <c r="A157" s="1" t="str">
        <f>"20064"</f>
        <v>20064</v>
      </c>
      <c r="B157" s="1" t="str">
        <f>"47894"</f>
        <v>47894</v>
      </c>
      <c r="C157" s="1" t="str">
        <f>"WASHINGTON"</f>
        <v>WASHINGTON</v>
      </c>
      <c r="D157" s="1" t="str">
        <f>"DC"</f>
        <v>DC</v>
      </c>
      <c r="E157" s="2">
        <v>0</v>
      </c>
      <c r="F157" s="2">
        <v>1</v>
      </c>
      <c r="G157" s="2">
        <v>0</v>
      </c>
      <c r="H157" s="2">
        <v>1</v>
      </c>
    </row>
    <row r="158" spans="1:8" x14ac:dyDescent="0.25">
      <c r="A158" s="1" t="str">
        <f>"48222"</f>
        <v>48222</v>
      </c>
      <c r="B158" s="1" t="str">
        <f>"19804"</f>
        <v>19804</v>
      </c>
      <c r="C158" s="1" t="str">
        <f>"DETROIT"</f>
        <v>DETROIT</v>
      </c>
      <c r="D158" s="1" t="str">
        <f>"MI"</f>
        <v>MI</v>
      </c>
      <c r="E158" s="2">
        <v>0</v>
      </c>
      <c r="F158" s="2">
        <v>1</v>
      </c>
      <c r="G158" s="2">
        <v>0</v>
      </c>
      <c r="H158" s="2">
        <v>1</v>
      </c>
    </row>
    <row r="159" spans="1:8" x14ac:dyDescent="0.25">
      <c r="A159" s="1" t="str">
        <f>"20548"</f>
        <v>20548</v>
      </c>
      <c r="B159" s="1" t="str">
        <f>"47894"</f>
        <v>47894</v>
      </c>
      <c r="C159" s="1" t="str">
        <f>"WASHINGTON"</f>
        <v>WASHINGTON</v>
      </c>
      <c r="D159" s="1" t="str">
        <f>"DC"</f>
        <v>DC</v>
      </c>
      <c r="E159" s="2">
        <v>0</v>
      </c>
      <c r="F159" s="2">
        <v>1</v>
      </c>
      <c r="G159" s="2">
        <v>0</v>
      </c>
      <c r="H159" s="2">
        <v>1</v>
      </c>
    </row>
    <row r="160" spans="1:8" x14ac:dyDescent="0.25">
      <c r="A160" s="1" t="str">
        <f>"20208"</f>
        <v>20208</v>
      </c>
      <c r="B160" s="1" t="str">
        <f>"47894"</f>
        <v>47894</v>
      </c>
      <c r="C160" s="1" t="str">
        <f>"WASHINGTON"</f>
        <v>WASHINGTON</v>
      </c>
      <c r="D160" s="1" t="str">
        <f>"DC"</f>
        <v>DC</v>
      </c>
      <c r="E160" s="2">
        <v>0</v>
      </c>
      <c r="F160" s="2">
        <v>1</v>
      </c>
      <c r="G160" s="2">
        <v>0</v>
      </c>
      <c r="H160" s="2">
        <v>1</v>
      </c>
    </row>
    <row r="161" spans="1:8" x14ac:dyDescent="0.25">
      <c r="A161" s="1" t="str">
        <f>"19708"</f>
        <v>19708</v>
      </c>
      <c r="B161" s="1" t="str">
        <f>"48864"</f>
        <v>48864</v>
      </c>
      <c r="C161" s="1" t="str">
        <f>"KIRKWOOD"</f>
        <v>KIRKWOOD</v>
      </c>
      <c r="D161" s="1" t="str">
        <f>"DE"</f>
        <v>DE</v>
      </c>
      <c r="E161" s="2">
        <v>0</v>
      </c>
      <c r="F161" s="2">
        <v>0</v>
      </c>
      <c r="G161" s="2">
        <v>1</v>
      </c>
      <c r="H161" s="2">
        <v>1</v>
      </c>
    </row>
    <row r="162" spans="1:8" x14ac:dyDescent="0.25">
      <c r="A162" s="1" t="str">
        <f>"20421"</f>
        <v>20421</v>
      </c>
      <c r="B162" s="1" t="str">
        <f>"47894"</f>
        <v>47894</v>
      </c>
      <c r="C162" s="1" t="str">
        <f>"WASHINGTON"</f>
        <v>WASHINGTON</v>
      </c>
      <c r="D162" s="1" t="str">
        <f>"DC"</f>
        <v>DC</v>
      </c>
      <c r="E162" s="2">
        <v>0</v>
      </c>
      <c r="F162" s="2">
        <v>1</v>
      </c>
      <c r="G162" s="2">
        <v>0</v>
      </c>
      <c r="H162" s="2">
        <v>1</v>
      </c>
    </row>
    <row r="163" spans="1:8" x14ac:dyDescent="0.25">
      <c r="A163" s="1" t="str">
        <f>"20411"</f>
        <v>20411</v>
      </c>
      <c r="B163" s="1" t="str">
        <f>"47894"</f>
        <v>47894</v>
      </c>
      <c r="C163" s="1" t="str">
        <f>"WASHINGTON"</f>
        <v>WASHINGTON</v>
      </c>
      <c r="D163" s="1" t="str">
        <f>"DC"</f>
        <v>DC</v>
      </c>
      <c r="E163" s="2">
        <v>0</v>
      </c>
      <c r="F163" s="2">
        <v>1</v>
      </c>
      <c r="G163" s="2">
        <v>0</v>
      </c>
      <c r="H163" s="2">
        <v>1</v>
      </c>
    </row>
    <row r="164" spans="1:8" x14ac:dyDescent="0.25">
      <c r="A164" s="1" t="str">
        <f>"20405"</f>
        <v>20405</v>
      </c>
      <c r="B164" s="1" t="str">
        <f>"47894"</f>
        <v>47894</v>
      </c>
      <c r="C164" s="1" t="str">
        <f>"WASHINGTON"</f>
        <v>WASHINGTON</v>
      </c>
      <c r="D164" s="1" t="str">
        <f>"DC"</f>
        <v>DC</v>
      </c>
      <c r="E164" s="2">
        <v>0</v>
      </c>
      <c r="F164" s="2">
        <v>1</v>
      </c>
      <c r="G164" s="2">
        <v>0</v>
      </c>
      <c r="H164" s="2">
        <v>1</v>
      </c>
    </row>
    <row r="165" spans="1:8" x14ac:dyDescent="0.25">
      <c r="A165" s="1" t="str">
        <f>"22241"</f>
        <v>22241</v>
      </c>
      <c r="B165" s="1" t="str">
        <f>"47894"</f>
        <v>47894</v>
      </c>
      <c r="C165" s="1" t="str">
        <f>"ARLINGTON"</f>
        <v>ARLINGTON</v>
      </c>
      <c r="D165" s="1" t="str">
        <f>"VA"</f>
        <v>VA</v>
      </c>
      <c r="E165" s="2">
        <v>0</v>
      </c>
      <c r="F165" s="2">
        <v>1</v>
      </c>
      <c r="G165" s="2">
        <v>0</v>
      </c>
      <c r="H165" s="2">
        <v>1</v>
      </c>
    </row>
    <row r="166" spans="1:8" x14ac:dyDescent="0.25">
      <c r="A166" s="1" t="str">
        <f>"01748"</f>
        <v>01748</v>
      </c>
      <c r="B166" s="1" t="str">
        <f>"15764"</f>
        <v>15764</v>
      </c>
      <c r="C166" s="1" t="str">
        <f>"HOPKINTON"</f>
        <v>HOPKINTON</v>
      </c>
      <c r="D166" s="1" t="str">
        <f>"MA"</f>
        <v>MA</v>
      </c>
      <c r="E166" s="2">
        <v>1</v>
      </c>
      <c r="F166" s="2">
        <v>1</v>
      </c>
      <c r="G166" s="2">
        <v>1</v>
      </c>
      <c r="H166" s="2">
        <v>1</v>
      </c>
    </row>
    <row r="167" spans="1:8" x14ac:dyDescent="0.25">
      <c r="A167" s="1" t="str">
        <f>"02114"</f>
        <v>02114</v>
      </c>
      <c r="B167" s="1" t="str">
        <f>"14454"</f>
        <v>14454</v>
      </c>
      <c r="C167" s="1" t="str">
        <f>"BOSTON"</f>
        <v>BOSTON</v>
      </c>
      <c r="D167" s="1" t="str">
        <f>"MA"</f>
        <v>MA</v>
      </c>
      <c r="E167" s="2">
        <v>1</v>
      </c>
      <c r="F167" s="2">
        <v>1</v>
      </c>
      <c r="G167" s="2">
        <v>1</v>
      </c>
      <c r="H167" s="2">
        <v>1</v>
      </c>
    </row>
    <row r="168" spans="1:8" x14ac:dyDescent="0.25">
      <c r="A168" s="1" t="str">
        <f>"02145"</f>
        <v>02145</v>
      </c>
      <c r="B168" s="1" t="str">
        <f>"15764"</f>
        <v>15764</v>
      </c>
      <c r="C168" s="1" t="str">
        <f>"SOMERVILLE"</f>
        <v>SOMERVILLE</v>
      </c>
      <c r="D168" s="1" t="str">
        <f>"MA"</f>
        <v>MA</v>
      </c>
      <c r="E168" s="2">
        <v>1</v>
      </c>
      <c r="F168" s="2">
        <v>1</v>
      </c>
      <c r="G168" s="2">
        <v>1</v>
      </c>
      <c r="H168" s="2">
        <v>1</v>
      </c>
    </row>
    <row r="169" spans="1:8" x14ac:dyDescent="0.25">
      <c r="A169" s="1" t="str">
        <f>"02339"</f>
        <v>02339</v>
      </c>
      <c r="B169" s="1" t="str">
        <f>"14454"</f>
        <v>14454</v>
      </c>
      <c r="C169" s="1" t="str">
        <f>"HANOVER"</f>
        <v>HANOVER</v>
      </c>
      <c r="D169" s="1" t="str">
        <f>"MA"</f>
        <v>MA</v>
      </c>
      <c r="E169" s="2">
        <v>1</v>
      </c>
      <c r="F169" s="2">
        <v>1</v>
      </c>
      <c r="G169" s="2">
        <v>1</v>
      </c>
      <c r="H169" s="2">
        <v>1</v>
      </c>
    </row>
    <row r="170" spans="1:8" x14ac:dyDescent="0.25">
      <c r="A170" s="1" t="str">
        <f>"03840"</f>
        <v>03840</v>
      </c>
      <c r="B170" s="1" t="str">
        <f>"40484"</f>
        <v>40484</v>
      </c>
      <c r="C170" s="1" t="str">
        <f>"GREENLAND"</f>
        <v>GREENLAND</v>
      </c>
      <c r="D170" s="1" t="str">
        <f>"NH"</f>
        <v>NH</v>
      </c>
      <c r="E170" s="2">
        <v>1</v>
      </c>
      <c r="F170" s="2">
        <v>1</v>
      </c>
      <c r="G170" s="2">
        <v>1</v>
      </c>
      <c r="H170" s="2">
        <v>1</v>
      </c>
    </row>
    <row r="171" spans="1:8" x14ac:dyDescent="0.25">
      <c r="A171" s="1" t="str">
        <f>"07026"</f>
        <v>07026</v>
      </c>
      <c r="B171" s="1" t="str">
        <f>"35614"</f>
        <v>35614</v>
      </c>
      <c r="C171" s="1" t="str">
        <f>"GARFIELD"</f>
        <v>GARFIELD</v>
      </c>
      <c r="D171" s="1" t="str">
        <f t="shared" ref="D171:D184" si="14">"NJ"</f>
        <v>NJ</v>
      </c>
      <c r="E171" s="2">
        <v>1</v>
      </c>
      <c r="F171" s="2">
        <v>1</v>
      </c>
      <c r="G171" s="2">
        <v>1</v>
      </c>
      <c r="H171" s="2">
        <v>1</v>
      </c>
    </row>
    <row r="172" spans="1:8" x14ac:dyDescent="0.25">
      <c r="A172" s="1" t="str">
        <f>"07033"</f>
        <v>07033</v>
      </c>
      <c r="B172" s="1" t="str">
        <f>"35084"</f>
        <v>35084</v>
      </c>
      <c r="C172" s="1" t="str">
        <f>"KENILWORTH"</f>
        <v>KENILWORTH</v>
      </c>
      <c r="D172" s="1" t="str">
        <f t="shared" si="14"/>
        <v>NJ</v>
      </c>
      <c r="E172" s="2">
        <v>1</v>
      </c>
      <c r="F172" s="2">
        <v>1</v>
      </c>
      <c r="G172" s="2">
        <v>1</v>
      </c>
      <c r="H172" s="2">
        <v>1</v>
      </c>
    </row>
    <row r="173" spans="1:8" x14ac:dyDescent="0.25">
      <c r="A173" s="1" t="str">
        <f>"07046"</f>
        <v>07046</v>
      </c>
      <c r="B173" s="1" t="str">
        <f>"35084"</f>
        <v>35084</v>
      </c>
      <c r="C173" s="1" t="str">
        <f>"MOUNTAIN LAKES"</f>
        <v>MOUNTAIN LAKES</v>
      </c>
      <c r="D173" s="1" t="str">
        <f t="shared" si="14"/>
        <v>NJ</v>
      </c>
      <c r="E173" s="2">
        <v>1</v>
      </c>
      <c r="F173" s="2">
        <v>1</v>
      </c>
      <c r="G173" s="2">
        <v>1</v>
      </c>
      <c r="H173" s="2">
        <v>1</v>
      </c>
    </row>
    <row r="174" spans="1:8" x14ac:dyDescent="0.25">
      <c r="A174" s="1" t="str">
        <f>"07107"</f>
        <v>07107</v>
      </c>
      <c r="B174" s="1" t="str">
        <f>"35084"</f>
        <v>35084</v>
      </c>
      <c r="C174" s="1" t="str">
        <f>"NEWARK"</f>
        <v>NEWARK</v>
      </c>
      <c r="D174" s="1" t="str">
        <f t="shared" si="14"/>
        <v>NJ</v>
      </c>
      <c r="E174" s="2">
        <v>1</v>
      </c>
      <c r="F174" s="2">
        <v>1</v>
      </c>
      <c r="G174" s="2">
        <v>1</v>
      </c>
      <c r="H174" s="2">
        <v>1</v>
      </c>
    </row>
    <row r="175" spans="1:8" x14ac:dyDescent="0.25">
      <c r="A175" s="1" t="str">
        <f>"07458"</f>
        <v>07458</v>
      </c>
      <c r="B175" s="1" t="str">
        <f>"35614"</f>
        <v>35614</v>
      </c>
      <c r="C175" s="1" t="str">
        <f>"SADDLE RIVER"</f>
        <v>SADDLE RIVER</v>
      </c>
      <c r="D175" s="1" t="str">
        <f t="shared" si="14"/>
        <v>NJ</v>
      </c>
      <c r="E175" s="2">
        <v>1</v>
      </c>
      <c r="F175" s="2">
        <v>1</v>
      </c>
      <c r="G175" s="2">
        <v>1</v>
      </c>
      <c r="H175" s="2">
        <v>1</v>
      </c>
    </row>
    <row r="176" spans="1:8" x14ac:dyDescent="0.25">
      <c r="A176" s="1" t="str">
        <f>"07524"</f>
        <v>07524</v>
      </c>
      <c r="B176" s="1" t="str">
        <f>"35614"</f>
        <v>35614</v>
      </c>
      <c r="C176" s="1" t="str">
        <f>"PATERSON"</f>
        <v>PATERSON</v>
      </c>
      <c r="D176" s="1" t="str">
        <f t="shared" si="14"/>
        <v>NJ</v>
      </c>
      <c r="E176" s="2">
        <v>1</v>
      </c>
      <c r="F176" s="2">
        <v>1</v>
      </c>
      <c r="G176" s="2">
        <v>1</v>
      </c>
      <c r="H176" s="2">
        <v>1</v>
      </c>
    </row>
    <row r="177" spans="1:8" x14ac:dyDescent="0.25">
      <c r="A177" s="1" t="str">
        <f>"07663"</f>
        <v>07663</v>
      </c>
      <c r="B177" s="1" t="str">
        <f>"35614"</f>
        <v>35614</v>
      </c>
      <c r="C177" s="1" t="str">
        <f>"SADDLE BROOK"</f>
        <v>SADDLE BROOK</v>
      </c>
      <c r="D177" s="1" t="str">
        <f t="shared" si="14"/>
        <v>NJ</v>
      </c>
      <c r="E177" s="2">
        <v>1</v>
      </c>
      <c r="F177" s="2">
        <v>1</v>
      </c>
      <c r="G177" s="2">
        <v>1</v>
      </c>
      <c r="H177" s="2">
        <v>1</v>
      </c>
    </row>
    <row r="178" spans="1:8" x14ac:dyDescent="0.25">
      <c r="A178" s="1" t="str">
        <f>"07735"</f>
        <v>07735</v>
      </c>
      <c r="B178" s="1" t="str">
        <f>"35154"</f>
        <v>35154</v>
      </c>
      <c r="C178" s="1" t="str">
        <f>"KEYPORT"</f>
        <v>KEYPORT</v>
      </c>
      <c r="D178" s="1" t="str">
        <f t="shared" si="14"/>
        <v>NJ</v>
      </c>
      <c r="E178" s="2">
        <v>1</v>
      </c>
      <c r="F178" s="2">
        <v>1</v>
      </c>
      <c r="G178" s="2">
        <v>1</v>
      </c>
      <c r="H178" s="2">
        <v>1</v>
      </c>
    </row>
    <row r="179" spans="1:8" x14ac:dyDescent="0.25">
      <c r="A179" s="1" t="str">
        <f>"07920"</f>
        <v>07920</v>
      </c>
      <c r="B179" s="1" t="str">
        <f>"35084"</f>
        <v>35084</v>
      </c>
      <c r="C179" s="1" t="str">
        <f>"BASKING RIDGE"</f>
        <v>BASKING RIDGE</v>
      </c>
      <c r="D179" s="1" t="str">
        <f t="shared" si="14"/>
        <v>NJ</v>
      </c>
      <c r="E179" s="2">
        <v>1.39530669566005E-2</v>
      </c>
      <c r="F179" s="2">
        <v>1.75131348511383E-3</v>
      </c>
      <c r="G179" s="2">
        <v>0.10958904109589</v>
      </c>
      <c r="H179" s="2">
        <v>1.628664495114E-2</v>
      </c>
    </row>
    <row r="180" spans="1:8" x14ac:dyDescent="0.25">
      <c r="A180" s="1" t="str">
        <f>"07920"</f>
        <v>07920</v>
      </c>
      <c r="B180" s="1" t="str">
        <f>"35154"</f>
        <v>35154</v>
      </c>
      <c r="C180" s="1" t="str">
        <f>"BASKING RIDGE"</f>
        <v>BASKING RIDGE</v>
      </c>
      <c r="D180" s="1" t="str">
        <f t="shared" si="14"/>
        <v>NJ</v>
      </c>
      <c r="E180" s="2">
        <v>0.98604693304339897</v>
      </c>
      <c r="F180" s="2">
        <v>0.99824868651488596</v>
      </c>
      <c r="G180" s="2">
        <v>0.89041095890410904</v>
      </c>
      <c r="H180" s="2">
        <v>0.98371335504885904</v>
      </c>
    </row>
    <row r="181" spans="1:8" x14ac:dyDescent="0.25">
      <c r="A181" s="1" t="str">
        <f>"08081"</f>
        <v>08081</v>
      </c>
      <c r="B181" s="1" t="str">
        <f>"15804"</f>
        <v>15804</v>
      </c>
      <c r="C181" s="1" t="str">
        <f>"SICKLERVILLE"</f>
        <v>SICKLERVILLE</v>
      </c>
      <c r="D181" s="1" t="str">
        <f t="shared" si="14"/>
        <v>NJ</v>
      </c>
      <c r="E181" s="2">
        <v>1</v>
      </c>
      <c r="F181" s="2">
        <v>1</v>
      </c>
      <c r="G181" s="2">
        <v>1</v>
      </c>
      <c r="H181" s="2">
        <v>1</v>
      </c>
    </row>
    <row r="182" spans="1:8" x14ac:dyDescent="0.25">
      <c r="A182" s="1" t="str">
        <f>"08104"</f>
        <v>08104</v>
      </c>
      <c r="B182" s="1" t="str">
        <f>"15804"</f>
        <v>15804</v>
      </c>
      <c r="C182" s="1" t="str">
        <f>"CAMDEN"</f>
        <v>CAMDEN</v>
      </c>
      <c r="D182" s="1" t="str">
        <f t="shared" si="14"/>
        <v>NJ</v>
      </c>
      <c r="E182" s="2">
        <v>1</v>
      </c>
      <c r="F182" s="2">
        <v>1</v>
      </c>
      <c r="G182" s="2">
        <v>1</v>
      </c>
      <c r="H182" s="2">
        <v>1</v>
      </c>
    </row>
    <row r="183" spans="1:8" x14ac:dyDescent="0.25">
      <c r="A183" s="1" t="str">
        <f>"08343"</f>
        <v>08343</v>
      </c>
      <c r="B183" s="1" t="str">
        <f>"15804"</f>
        <v>15804</v>
      </c>
      <c r="C183" s="1" t="str">
        <f>"MONROEVILLE"</f>
        <v>MONROEVILLE</v>
      </c>
      <c r="D183" s="1" t="str">
        <f t="shared" si="14"/>
        <v>NJ</v>
      </c>
      <c r="E183" s="2">
        <v>0.62636165577341996</v>
      </c>
      <c r="F183" s="2">
        <v>0.381818181818181</v>
      </c>
      <c r="G183" s="2">
        <v>0.9</v>
      </c>
      <c r="H183" s="2">
        <v>0.62072593371909501</v>
      </c>
    </row>
    <row r="184" spans="1:8" x14ac:dyDescent="0.25">
      <c r="A184" s="1" t="str">
        <f>"08343"</f>
        <v>08343</v>
      </c>
      <c r="B184" s="1" t="str">
        <f>"48864"</f>
        <v>48864</v>
      </c>
      <c r="C184" s="1" t="str">
        <f>"MONROEVILLE"</f>
        <v>MONROEVILLE</v>
      </c>
      <c r="D184" s="1" t="str">
        <f t="shared" si="14"/>
        <v>NJ</v>
      </c>
      <c r="E184" s="2">
        <v>0.37363834422657899</v>
      </c>
      <c r="F184" s="2">
        <v>0.61818181818181805</v>
      </c>
      <c r="G184" s="2">
        <v>0.1</v>
      </c>
      <c r="H184" s="2">
        <v>0.37927406628090399</v>
      </c>
    </row>
    <row r="185" spans="1:8" x14ac:dyDescent="0.25">
      <c r="A185" s="1" t="str">
        <f>"10002"</f>
        <v>10002</v>
      </c>
      <c r="B185" s="1" t="str">
        <f t="shared" ref="B185:B190" si="15">"35614"</f>
        <v>35614</v>
      </c>
      <c r="C185" s="1" t="str">
        <f>"NEW YORK"</f>
        <v>NEW YORK</v>
      </c>
      <c r="D185" s="1" t="str">
        <f t="shared" ref="D185:D199" si="16">"NY"</f>
        <v>NY</v>
      </c>
      <c r="E185" s="2">
        <v>1</v>
      </c>
      <c r="F185" s="2">
        <v>1</v>
      </c>
      <c r="G185" s="2">
        <v>1</v>
      </c>
      <c r="H185" s="2">
        <v>1</v>
      </c>
    </row>
    <row r="186" spans="1:8" x14ac:dyDescent="0.25">
      <c r="A186" s="1" t="str">
        <f>"10030"</f>
        <v>10030</v>
      </c>
      <c r="B186" s="1" t="str">
        <f t="shared" si="15"/>
        <v>35614</v>
      </c>
      <c r="C186" s="1" t="str">
        <f>"NEW YORK"</f>
        <v>NEW YORK</v>
      </c>
      <c r="D186" s="1" t="str">
        <f t="shared" si="16"/>
        <v>NY</v>
      </c>
      <c r="E186" s="2">
        <v>1</v>
      </c>
      <c r="F186" s="2">
        <v>1</v>
      </c>
      <c r="G186" s="2">
        <v>1</v>
      </c>
      <c r="H186" s="2">
        <v>1</v>
      </c>
    </row>
    <row r="187" spans="1:8" x14ac:dyDescent="0.25">
      <c r="A187" s="1" t="str">
        <f>"10457"</f>
        <v>10457</v>
      </c>
      <c r="B187" s="1" t="str">
        <f t="shared" si="15"/>
        <v>35614</v>
      </c>
      <c r="C187" s="1" t="str">
        <f>"BRONX"</f>
        <v>BRONX</v>
      </c>
      <c r="D187" s="1" t="str">
        <f t="shared" si="16"/>
        <v>NY</v>
      </c>
      <c r="E187" s="2">
        <v>1</v>
      </c>
      <c r="F187" s="2">
        <v>1</v>
      </c>
      <c r="G187" s="2">
        <v>1</v>
      </c>
      <c r="H187" s="2">
        <v>1</v>
      </c>
    </row>
    <row r="188" spans="1:8" x14ac:dyDescent="0.25">
      <c r="A188" s="1" t="str">
        <f>"10475"</f>
        <v>10475</v>
      </c>
      <c r="B188" s="1" t="str">
        <f t="shared" si="15"/>
        <v>35614</v>
      </c>
      <c r="C188" s="1" t="str">
        <f>"BRONX"</f>
        <v>BRONX</v>
      </c>
      <c r="D188" s="1" t="str">
        <f t="shared" si="16"/>
        <v>NY</v>
      </c>
      <c r="E188" s="2">
        <v>1</v>
      </c>
      <c r="F188" s="2">
        <v>1</v>
      </c>
      <c r="G188" s="2">
        <v>1</v>
      </c>
      <c r="H188" s="2">
        <v>1</v>
      </c>
    </row>
    <row r="189" spans="1:8" x14ac:dyDescent="0.25">
      <c r="A189" s="1" t="str">
        <f>"11372"</f>
        <v>11372</v>
      </c>
      <c r="B189" s="1" t="str">
        <f t="shared" si="15"/>
        <v>35614</v>
      </c>
      <c r="C189" s="1" t="str">
        <f>"JACKSON HEIGHTS"</f>
        <v>JACKSON HEIGHTS</v>
      </c>
      <c r="D189" s="1" t="str">
        <f t="shared" si="16"/>
        <v>NY</v>
      </c>
      <c r="E189" s="2">
        <v>1</v>
      </c>
      <c r="F189" s="2">
        <v>1</v>
      </c>
      <c r="G189" s="2">
        <v>1</v>
      </c>
      <c r="H189" s="2">
        <v>1</v>
      </c>
    </row>
    <row r="190" spans="1:8" x14ac:dyDescent="0.25">
      <c r="A190" s="1" t="str">
        <f>"11426"</f>
        <v>11426</v>
      </c>
      <c r="B190" s="1" t="str">
        <f t="shared" si="15"/>
        <v>35614</v>
      </c>
      <c r="C190" s="1" t="str">
        <f>"BELLEROSE"</f>
        <v>BELLEROSE</v>
      </c>
      <c r="D190" s="1" t="str">
        <f t="shared" si="16"/>
        <v>NY</v>
      </c>
      <c r="E190" s="2">
        <v>1</v>
      </c>
      <c r="F190" s="2">
        <v>1</v>
      </c>
      <c r="G190" s="2">
        <v>1</v>
      </c>
      <c r="H190" s="2">
        <v>1</v>
      </c>
    </row>
    <row r="191" spans="1:8" x14ac:dyDescent="0.25">
      <c r="A191" s="1" t="str">
        <f>"11514"</f>
        <v>11514</v>
      </c>
      <c r="B191" s="1" t="str">
        <f t="shared" ref="B191:B197" si="17">"35004"</f>
        <v>35004</v>
      </c>
      <c r="C191" s="1" t="str">
        <f>"CARLE PLACE"</f>
        <v>CARLE PLACE</v>
      </c>
      <c r="D191" s="1" t="str">
        <f t="shared" si="16"/>
        <v>NY</v>
      </c>
      <c r="E191" s="2">
        <v>1</v>
      </c>
      <c r="F191" s="2">
        <v>1</v>
      </c>
      <c r="G191" s="2">
        <v>1</v>
      </c>
      <c r="H191" s="2">
        <v>1</v>
      </c>
    </row>
    <row r="192" spans="1:8" x14ac:dyDescent="0.25">
      <c r="A192" s="1" t="str">
        <f>"11558"</f>
        <v>11558</v>
      </c>
      <c r="B192" s="1" t="str">
        <f t="shared" si="17"/>
        <v>35004</v>
      </c>
      <c r="C192" s="1" t="str">
        <f>"ISLAND PARK"</f>
        <v>ISLAND PARK</v>
      </c>
      <c r="D192" s="1" t="str">
        <f t="shared" si="16"/>
        <v>NY</v>
      </c>
      <c r="E192" s="2">
        <v>1</v>
      </c>
      <c r="F192" s="2">
        <v>1</v>
      </c>
      <c r="G192" s="2">
        <v>1</v>
      </c>
      <c r="H192" s="2">
        <v>1</v>
      </c>
    </row>
    <row r="193" spans="1:8" x14ac:dyDescent="0.25">
      <c r="A193" s="1" t="str">
        <f>"11729"</f>
        <v>11729</v>
      </c>
      <c r="B193" s="1" t="str">
        <f t="shared" si="17"/>
        <v>35004</v>
      </c>
      <c r="C193" s="1" t="str">
        <f>"DEER PARK"</f>
        <v>DEER PARK</v>
      </c>
      <c r="D193" s="1" t="str">
        <f t="shared" si="16"/>
        <v>NY</v>
      </c>
      <c r="E193" s="2">
        <v>1</v>
      </c>
      <c r="F193" s="2">
        <v>1</v>
      </c>
      <c r="G193" s="2">
        <v>1</v>
      </c>
      <c r="H193" s="2">
        <v>1</v>
      </c>
    </row>
    <row r="194" spans="1:8" x14ac:dyDescent="0.25">
      <c r="A194" s="1" t="str">
        <f>"11768"</f>
        <v>11768</v>
      </c>
      <c r="B194" s="1" t="str">
        <f t="shared" si="17"/>
        <v>35004</v>
      </c>
      <c r="C194" s="1" t="str">
        <f>"NORTHPORT"</f>
        <v>NORTHPORT</v>
      </c>
      <c r="D194" s="1" t="str">
        <f t="shared" si="16"/>
        <v>NY</v>
      </c>
      <c r="E194" s="2">
        <v>1</v>
      </c>
      <c r="F194" s="2">
        <v>1</v>
      </c>
      <c r="G194" s="2">
        <v>1</v>
      </c>
      <c r="H194" s="2">
        <v>1</v>
      </c>
    </row>
    <row r="195" spans="1:8" x14ac:dyDescent="0.25">
      <c r="A195" s="1" t="str">
        <f>"11797"</f>
        <v>11797</v>
      </c>
      <c r="B195" s="1" t="str">
        <f t="shared" si="17"/>
        <v>35004</v>
      </c>
      <c r="C195" s="1" t="str">
        <f>"WOODBURY"</f>
        <v>WOODBURY</v>
      </c>
      <c r="D195" s="1" t="str">
        <f t="shared" si="16"/>
        <v>NY</v>
      </c>
      <c r="E195" s="2">
        <v>1</v>
      </c>
      <c r="F195" s="2">
        <v>1</v>
      </c>
      <c r="G195" s="2">
        <v>1</v>
      </c>
      <c r="H195" s="2">
        <v>1</v>
      </c>
    </row>
    <row r="196" spans="1:8" x14ac:dyDescent="0.25">
      <c r="A196" s="1" t="str">
        <f>"11935"</f>
        <v>11935</v>
      </c>
      <c r="B196" s="1" t="str">
        <f t="shared" si="17"/>
        <v>35004</v>
      </c>
      <c r="C196" s="1" t="str">
        <f>"CUTCHOGUE"</f>
        <v>CUTCHOGUE</v>
      </c>
      <c r="D196" s="1" t="str">
        <f t="shared" si="16"/>
        <v>NY</v>
      </c>
      <c r="E196" s="2">
        <v>1</v>
      </c>
      <c r="F196" s="2">
        <v>1</v>
      </c>
      <c r="G196" s="2">
        <v>1</v>
      </c>
      <c r="H196" s="2">
        <v>1</v>
      </c>
    </row>
    <row r="197" spans="1:8" x14ac:dyDescent="0.25">
      <c r="A197" s="1" t="str">
        <f>"11959"</f>
        <v>11959</v>
      </c>
      <c r="B197" s="1" t="str">
        <f t="shared" si="17"/>
        <v>35004</v>
      </c>
      <c r="C197" s="1" t="str">
        <f>"QUOGUE"</f>
        <v>QUOGUE</v>
      </c>
      <c r="D197" s="1" t="str">
        <f t="shared" si="16"/>
        <v>NY</v>
      </c>
      <c r="E197" s="2">
        <v>1</v>
      </c>
      <c r="F197" s="2">
        <v>1</v>
      </c>
      <c r="G197" s="2">
        <v>1</v>
      </c>
      <c r="H197" s="2">
        <v>1</v>
      </c>
    </row>
    <row r="198" spans="1:8" x14ac:dyDescent="0.25">
      <c r="A198" s="1" t="str">
        <f>"10701"</f>
        <v>10701</v>
      </c>
      <c r="B198" s="1" t="str">
        <f>"35614"</f>
        <v>35614</v>
      </c>
      <c r="C198" s="1" t="str">
        <f>"YONKERS"</f>
        <v>YONKERS</v>
      </c>
      <c r="D198" s="1" t="str">
        <f t="shared" si="16"/>
        <v>NY</v>
      </c>
      <c r="E198" s="2">
        <v>1</v>
      </c>
      <c r="F198" s="2">
        <v>1</v>
      </c>
      <c r="G198" s="2">
        <v>1</v>
      </c>
      <c r="H198" s="2">
        <v>1</v>
      </c>
    </row>
    <row r="199" spans="1:8" x14ac:dyDescent="0.25">
      <c r="A199" s="1" t="str">
        <f>"10920"</f>
        <v>10920</v>
      </c>
      <c r="B199" s="1" t="str">
        <f>"35614"</f>
        <v>35614</v>
      </c>
      <c r="C199" s="1" t="str">
        <f>"CONGERS"</f>
        <v>CONGERS</v>
      </c>
      <c r="D199" s="1" t="str">
        <f t="shared" si="16"/>
        <v>NY</v>
      </c>
      <c r="E199" s="2">
        <v>1</v>
      </c>
      <c r="F199" s="2">
        <v>1</v>
      </c>
      <c r="G199" s="2">
        <v>1</v>
      </c>
      <c r="H199" s="2">
        <v>1</v>
      </c>
    </row>
    <row r="200" spans="1:8" x14ac:dyDescent="0.25">
      <c r="A200" s="1" t="str">
        <f>"18458"</f>
        <v>18458</v>
      </c>
      <c r="B200" s="1" t="str">
        <f>"35084"</f>
        <v>35084</v>
      </c>
      <c r="C200" s="1" t="str">
        <f>"SHOHOLA"</f>
        <v>SHOHOLA</v>
      </c>
      <c r="D200" s="1" t="str">
        <f t="shared" ref="D200:D208" si="18">"PA"</f>
        <v>PA</v>
      </c>
      <c r="E200" s="2">
        <v>1</v>
      </c>
      <c r="F200" s="2">
        <v>1</v>
      </c>
      <c r="G200" s="2">
        <v>1</v>
      </c>
      <c r="H200" s="2">
        <v>1</v>
      </c>
    </row>
    <row r="201" spans="1:8" x14ac:dyDescent="0.25">
      <c r="A201" s="1" t="str">
        <f>"18428"</f>
        <v>18428</v>
      </c>
      <c r="B201" s="1" t="str">
        <f>"35084"</f>
        <v>35084</v>
      </c>
      <c r="C201" s="1" t="str">
        <f>"HAWLEY"</f>
        <v>HAWLEY</v>
      </c>
      <c r="D201" s="1" t="str">
        <f t="shared" si="18"/>
        <v>PA</v>
      </c>
      <c r="E201" s="2">
        <v>1</v>
      </c>
      <c r="F201" s="2">
        <v>1</v>
      </c>
      <c r="G201" s="2">
        <v>1</v>
      </c>
      <c r="H201" s="2">
        <v>1</v>
      </c>
    </row>
    <row r="202" spans="1:8" x14ac:dyDescent="0.25">
      <c r="A202" s="1" t="str">
        <f>"18929"</f>
        <v>18929</v>
      </c>
      <c r="B202" s="1" t="str">
        <f>"33874"</f>
        <v>33874</v>
      </c>
      <c r="C202" s="1" t="str">
        <f>"JAMISON"</f>
        <v>JAMISON</v>
      </c>
      <c r="D202" s="1" t="str">
        <f t="shared" si="18"/>
        <v>PA</v>
      </c>
      <c r="E202" s="2">
        <v>1</v>
      </c>
      <c r="F202" s="2">
        <v>1</v>
      </c>
      <c r="G202" s="2">
        <v>1</v>
      </c>
      <c r="H202" s="2">
        <v>1</v>
      </c>
    </row>
    <row r="203" spans="1:8" x14ac:dyDescent="0.25">
      <c r="A203" s="1" t="str">
        <f>"19063"</f>
        <v>19063</v>
      </c>
      <c r="B203" s="1" t="str">
        <f>"37964"</f>
        <v>37964</v>
      </c>
      <c r="C203" s="1" t="str">
        <f>"MEDIA"</f>
        <v>MEDIA</v>
      </c>
      <c r="D203" s="1" t="str">
        <f t="shared" si="18"/>
        <v>PA</v>
      </c>
      <c r="E203" s="2">
        <v>1</v>
      </c>
      <c r="F203" s="2">
        <v>1</v>
      </c>
      <c r="G203" s="2">
        <v>1</v>
      </c>
      <c r="H203" s="2">
        <v>1</v>
      </c>
    </row>
    <row r="204" spans="1:8" x14ac:dyDescent="0.25">
      <c r="A204" s="1" t="str">
        <f>"19096"</f>
        <v>19096</v>
      </c>
      <c r="B204" s="1" t="str">
        <f>"37964"</f>
        <v>37964</v>
      </c>
      <c r="C204" s="1" t="str">
        <f>"WYNNEWOOD"</f>
        <v>WYNNEWOOD</v>
      </c>
      <c r="D204" s="1" t="str">
        <f t="shared" si="18"/>
        <v>PA</v>
      </c>
      <c r="E204" s="2">
        <v>4.0031274433150799E-2</v>
      </c>
      <c r="F204" s="2">
        <v>3.7453183520599199E-3</v>
      </c>
      <c r="G204" s="2">
        <v>0</v>
      </c>
      <c r="H204" s="2">
        <v>3.5382513661202097E-2</v>
      </c>
    </row>
    <row r="205" spans="1:8" x14ac:dyDescent="0.25">
      <c r="A205" s="1" t="str">
        <f>"19096"</f>
        <v>19096</v>
      </c>
      <c r="B205" s="1" t="str">
        <f>"33874"</f>
        <v>33874</v>
      </c>
      <c r="C205" s="1" t="str">
        <f>"WYNNEWOOD"</f>
        <v>WYNNEWOOD</v>
      </c>
      <c r="D205" s="1" t="str">
        <f t="shared" si="18"/>
        <v>PA</v>
      </c>
      <c r="E205" s="2">
        <v>0.95996872556684898</v>
      </c>
      <c r="F205" s="2">
        <v>0.99625468164793995</v>
      </c>
      <c r="G205" s="2">
        <v>1</v>
      </c>
      <c r="H205" s="2">
        <v>0.96461748633879696</v>
      </c>
    </row>
    <row r="206" spans="1:8" x14ac:dyDescent="0.25">
      <c r="A206" s="1" t="str">
        <f>"19095"</f>
        <v>19095</v>
      </c>
      <c r="B206" s="1" t="str">
        <f>"37964"</f>
        <v>37964</v>
      </c>
      <c r="C206" s="1" t="str">
        <f>"WYNCOTE"</f>
        <v>WYNCOTE</v>
      </c>
      <c r="D206" s="1" t="str">
        <f t="shared" si="18"/>
        <v>PA</v>
      </c>
      <c r="E206" s="2">
        <v>0</v>
      </c>
      <c r="F206" s="2">
        <v>4.2194092827004199E-3</v>
      </c>
      <c r="G206" s="2">
        <v>0</v>
      </c>
      <c r="H206" s="2">
        <v>2.08159866777685E-4</v>
      </c>
    </row>
    <row r="207" spans="1:8" x14ac:dyDescent="0.25">
      <c r="A207" s="1" t="str">
        <f>"19095"</f>
        <v>19095</v>
      </c>
      <c r="B207" s="1" t="str">
        <f>"33874"</f>
        <v>33874</v>
      </c>
      <c r="C207" s="1" t="str">
        <f>"WYNCOTE"</f>
        <v>WYNCOTE</v>
      </c>
      <c r="D207" s="1" t="str">
        <f t="shared" si="18"/>
        <v>PA</v>
      </c>
      <c r="E207" s="2">
        <v>1</v>
      </c>
      <c r="F207" s="2">
        <v>0.99578059071729896</v>
      </c>
      <c r="G207" s="2">
        <v>1</v>
      </c>
      <c r="H207" s="2">
        <v>0.99979184013322198</v>
      </c>
    </row>
    <row r="208" spans="1:8" x14ac:dyDescent="0.25">
      <c r="A208" s="1" t="str">
        <f>"19130"</f>
        <v>19130</v>
      </c>
      <c r="B208" s="1" t="str">
        <f>"37964"</f>
        <v>37964</v>
      </c>
      <c r="C208" s="1" t="str">
        <f>"PHILADELPHIA"</f>
        <v>PHILADELPHIA</v>
      </c>
      <c r="D208" s="1" t="str">
        <f t="shared" si="18"/>
        <v>PA</v>
      </c>
      <c r="E208" s="2">
        <v>1</v>
      </c>
      <c r="F208" s="2">
        <v>1</v>
      </c>
      <c r="G208" s="2">
        <v>1</v>
      </c>
      <c r="H208" s="2">
        <v>1</v>
      </c>
    </row>
    <row r="209" spans="1:8" x14ac:dyDescent="0.25">
      <c r="A209" s="1" t="str">
        <f>"19802"</f>
        <v>19802</v>
      </c>
      <c r="B209" s="1" t="str">
        <f>"48864"</f>
        <v>48864</v>
      </c>
      <c r="C209" s="1" t="str">
        <f>"WILMINGTON"</f>
        <v>WILMINGTON</v>
      </c>
      <c r="D209" s="1" t="str">
        <f>"DE"</f>
        <v>DE</v>
      </c>
      <c r="E209" s="2">
        <v>1</v>
      </c>
      <c r="F209" s="2">
        <v>1</v>
      </c>
      <c r="G209" s="2">
        <v>1</v>
      </c>
      <c r="H209" s="2">
        <v>1</v>
      </c>
    </row>
    <row r="210" spans="1:8" x14ac:dyDescent="0.25">
      <c r="A210" s="1" t="str">
        <f>"19803"</f>
        <v>19803</v>
      </c>
      <c r="B210" s="1" t="str">
        <f>"48864"</f>
        <v>48864</v>
      </c>
      <c r="C210" s="1" t="str">
        <f>"WILMINGTON"</f>
        <v>WILMINGTON</v>
      </c>
      <c r="D210" s="1" t="str">
        <f>"DE"</f>
        <v>DE</v>
      </c>
      <c r="E210" s="2">
        <v>1</v>
      </c>
      <c r="F210" s="2">
        <v>1</v>
      </c>
      <c r="G210" s="2">
        <v>1</v>
      </c>
      <c r="H210" s="2">
        <v>1</v>
      </c>
    </row>
    <row r="211" spans="1:8" x14ac:dyDescent="0.25">
      <c r="A211" s="1" t="str">
        <f>"20002"</f>
        <v>20002</v>
      </c>
      <c r="B211" s="1" t="str">
        <f>"47894"</f>
        <v>47894</v>
      </c>
      <c r="C211" s="1" t="str">
        <f>"WASHINGTON"</f>
        <v>WASHINGTON</v>
      </c>
      <c r="D211" s="1" t="str">
        <f>"DC"</f>
        <v>DC</v>
      </c>
      <c r="E211" s="2">
        <v>1</v>
      </c>
      <c r="F211" s="2">
        <v>1</v>
      </c>
      <c r="G211" s="2">
        <v>1</v>
      </c>
      <c r="H211" s="2">
        <v>1</v>
      </c>
    </row>
    <row r="212" spans="1:8" x14ac:dyDescent="0.25">
      <c r="A212" s="1" t="str">
        <f>"20250"</f>
        <v>20250</v>
      </c>
      <c r="B212" s="1" t="str">
        <f>"47894"</f>
        <v>47894</v>
      </c>
      <c r="C212" s="1" t="str">
        <f>"WASHINGTON"</f>
        <v>WASHINGTON</v>
      </c>
      <c r="D212" s="1" t="str">
        <f>"DC"</f>
        <v>DC</v>
      </c>
      <c r="E212" s="2">
        <v>0</v>
      </c>
      <c r="F212" s="2">
        <v>1</v>
      </c>
      <c r="G212" s="2">
        <v>1</v>
      </c>
      <c r="H212" s="2">
        <v>1</v>
      </c>
    </row>
    <row r="213" spans="1:8" x14ac:dyDescent="0.25">
      <c r="A213" s="1" t="str">
        <f>"20747"</f>
        <v>20747</v>
      </c>
      <c r="B213" s="1" t="str">
        <f>"47894"</f>
        <v>47894</v>
      </c>
      <c r="C213" s="1" t="str">
        <f>"DISTRICT HEIGHTS"</f>
        <v>DISTRICT HEIGHTS</v>
      </c>
      <c r="D213" s="1" t="str">
        <f>"MD"</f>
        <v>MD</v>
      </c>
      <c r="E213" s="2">
        <v>1</v>
      </c>
      <c r="F213" s="2">
        <v>1</v>
      </c>
      <c r="G213" s="2">
        <v>1</v>
      </c>
      <c r="H213" s="2">
        <v>1</v>
      </c>
    </row>
    <row r="214" spans="1:8" x14ac:dyDescent="0.25">
      <c r="A214" s="1" t="str">
        <f>"20868"</f>
        <v>20868</v>
      </c>
      <c r="B214" s="1" t="str">
        <f>"23224"</f>
        <v>23224</v>
      </c>
      <c r="C214" s="1" t="str">
        <f>"SPENCERVILLE"</f>
        <v>SPENCERVILLE</v>
      </c>
      <c r="D214" s="1" t="str">
        <f>"MD"</f>
        <v>MD</v>
      </c>
      <c r="E214" s="2">
        <v>1</v>
      </c>
      <c r="F214" s="2">
        <v>1</v>
      </c>
      <c r="G214" s="2">
        <v>1</v>
      </c>
      <c r="H214" s="2">
        <v>1</v>
      </c>
    </row>
    <row r="215" spans="1:8" x14ac:dyDescent="0.25">
      <c r="A215" s="1" t="str">
        <f>"21773"</f>
        <v>21773</v>
      </c>
      <c r="B215" s="1" t="str">
        <f>"23224"</f>
        <v>23224</v>
      </c>
      <c r="C215" s="1" t="str">
        <f>"MYERSVILLE"</f>
        <v>MYERSVILLE</v>
      </c>
      <c r="D215" s="1" t="str">
        <f>"MD"</f>
        <v>MD</v>
      </c>
      <c r="E215" s="2">
        <v>1</v>
      </c>
      <c r="F215" s="2">
        <v>1</v>
      </c>
      <c r="G215" s="2">
        <v>1</v>
      </c>
      <c r="H215" s="2">
        <v>1</v>
      </c>
    </row>
    <row r="216" spans="1:8" x14ac:dyDescent="0.25">
      <c r="A216" s="1" t="str">
        <f>"21904"</f>
        <v>21904</v>
      </c>
      <c r="B216" s="1" t="str">
        <f>"48864"</f>
        <v>48864</v>
      </c>
      <c r="C216" s="1" t="str">
        <f>"PORT DEPOSIT"</f>
        <v>PORT DEPOSIT</v>
      </c>
      <c r="D216" s="1" t="str">
        <f>"MD"</f>
        <v>MD</v>
      </c>
      <c r="E216" s="2">
        <v>1</v>
      </c>
      <c r="F216" s="2">
        <v>1</v>
      </c>
      <c r="G216" s="2">
        <v>1</v>
      </c>
      <c r="H216" s="2">
        <v>1</v>
      </c>
    </row>
    <row r="217" spans="1:8" x14ac:dyDescent="0.25">
      <c r="A217" s="1" t="str">
        <f>"20129"</f>
        <v>20129</v>
      </c>
      <c r="B217" s="1" t="str">
        <f t="shared" ref="B217:B225" si="19">"47894"</f>
        <v>47894</v>
      </c>
      <c r="C217" s="1" t="str">
        <f>"PAEONIAN SPRINGS"</f>
        <v>PAEONIAN SPRINGS</v>
      </c>
      <c r="D217" s="1" t="str">
        <f t="shared" ref="D217:D225" si="20">"VA"</f>
        <v>VA</v>
      </c>
      <c r="E217" s="2">
        <v>1</v>
      </c>
      <c r="F217" s="2">
        <v>1</v>
      </c>
      <c r="G217" s="2">
        <v>1</v>
      </c>
      <c r="H217" s="2">
        <v>1</v>
      </c>
    </row>
    <row r="218" spans="1:8" x14ac:dyDescent="0.25">
      <c r="A218" s="1" t="str">
        <f>"20146"</f>
        <v>20146</v>
      </c>
      <c r="B218" s="1" t="str">
        <f t="shared" si="19"/>
        <v>47894</v>
      </c>
      <c r="C218" s="1" t="str">
        <f>"ASHBURN"</f>
        <v>ASHBURN</v>
      </c>
      <c r="D218" s="1" t="str">
        <f t="shared" si="20"/>
        <v>VA</v>
      </c>
      <c r="E218" s="2">
        <v>1</v>
      </c>
      <c r="F218" s="2">
        <v>1</v>
      </c>
      <c r="G218" s="2">
        <v>1</v>
      </c>
      <c r="H218" s="2">
        <v>1</v>
      </c>
    </row>
    <row r="219" spans="1:8" x14ac:dyDescent="0.25">
      <c r="A219" s="1" t="str">
        <f>"20168"</f>
        <v>20168</v>
      </c>
      <c r="B219" s="1" t="str">
        <f t="shared" si="19"/>
        <v>47894</v>
      </c>
      <c r="C219" s="1" t="str">
        <f>"HAYMARKET"</f>
        <v>HAYMARKET</v>
      </c>
      <c r="D219" s="1" t="str">
        <f t="shared" si="20"/>
        <v>VA</v>
      </c>
      <c r="E219" s="2">
        <v>1</v>
      </c>
      <c r="F219" s="2">
        <v>1</v>
      </c>
      <c r="G219" s="2">
        <v>1</v>
      </c>
      <c r="H219" s="2">
        <v>1</v>
      </c>
    </row>
    <row r="220" spans="1:8" x14ac:dyDescent="0.25">
      <c r="A220" s="1" t="str">
        <f>"20187"</f>
        <v>20187</v>
      </c>
      <c r="B220" s="1" t="str">
        <f t="shared" si="19"/>
        <v>47894</v>
      </c>
      <c r="C220" s="1" t="str">
        <f>"WARRENTON"</f>
        <v>WARRENTON</v>
      </c>
      <c r="D220" s="1" t="str">
        <f t="shared" si="20"/>
        <v>VA</v>
      </c>
      <c r="E220" s="2">
        <v>1</v>
      </c>
      <c r="F220" s="2">
        <v>1</v>
      </c>
      <c r="G220" s="2">
        <v>1</v>
      </c>
      <c r="H220" s="2">
        <v>1</v>
      </c>
    </row>
    <row r="221" spans="1:8" x14ac:dyDescent="0.25">
      <c r="A221" s="1" t="str">
        <f>"22032"</f>
        <v>22032</v>
      </c>
      <c r="B221" s="1" t="str">
        <f t="shared" si="19"/>
        <v>47894</v>
      </c>
      <c r="C221" s="1" t="str">
        <f>"FAIRFAX"</f>
        <v>FAIRFAX</v>
      </c>
      <c r="D221" s="1" t="str">
        <f t="shared" si="20"/>
        <v>VA</v>
      </c>
      <c r="E221" s="2">
        <v>1</v>
      </c>
      <c r="F221" s="2">
        <v>1</v>
      </c>
      <c r="G221" s="2">
        <v>1</v>
      </c>
      <c r="H221" s="2">
        <v>1</v>
      </c>
    </row>
    <row r="222" spans="1:8" x14ac:dyDescent="0.25">
      <c r="A222" s="1" t="str">
        <f>"22043"</f>
        <v>22043</v>
      </c>
      <c r="B222" s="1" t="str">
        <f t="shared" si="19"/>
        <v>47894</v>
      </c>
      <c r="C222" s="1" t="str">
        <f>"FALLS CHURCH"</f>
        <v>FALLS CHURCH</v>
      </c>
      <c r="D222" s="1" t="str">
        <f t="shared" si="20"/>
        <v>VA</v>
      </c>
      <c r="E222" s="2">
        <v>1</v>
      </c>
      <c r="F222" s="2">
        <v>1</v>
      </c>
      <c r="G222" s="2">
        <v>1</v>
      </c>
      <c r="H222" s="2">
        <v>1</v>
      </c>
    </row>
    <row r="223" spans="1:8" x14ac:dyDescent="0.25">
      <c r="A223" s="1" t="str">
        <f>"22192"</f>
        <v>22192</v>
      </c>
      <c r="B223" s="1" t="str">
        <f t="shared" si="19"/>
        <v>47894</v>
      </c>
      <c r="C223" s="1" t="str">
        <f>"WOODBRIDGE"</f>
        <v>WOODBRIDGE</v>
      </c>
      <c r="D223" s="1" t="str">
        <f t="shared" si="20"/>
        <v>VA</v>
      </c>
      <c r="E223" s="2">
        <v>1</v>
      </c>
      <c r="F223" s="2">
        <v>1</v>
      </c>
      <c r="G223" s="2">
        <v>1</v>
      </c>
      <c r="H223" s="2">
        <v>1</v>
      </c>
    </row>
    <row r="224" spans="1:8" x14ac:dyDescent="0.25">
      <c r="A224" s="1" t="str">
        <f>"22311"</f>
        <v>22311</v>
      </c>
      <c r="B224" s="1" t="str">
        <f t="shared" si="19"/>
        <v>47894</v>
      </c>
      <c r="C224" s="1" t="str">
        <f>"ALEXANDRIA"</f>
        <v>ALEXANDRIA</v>
      </c>
      <c r="D224" s="1" t="str">
        <f t="shared" si="20"/>
        <v>VA</v>
      </c>
      <c r="E224" s="2">
        <v>1</v>
      </c>
      <c r="F224" s="2">
        <v>1</v>
      </c>
      <c r="G224" s="2">
        <v>1</v>
      </c>
      <c r="H224" s="2">
        <v>1</v>
      </c>
    </row>
    <row r="225" spans="1:8" x14ac:dyDescent="0.25">
      <c r="A225" s="1" t="str">
        <f>"22630"</f>
        <v>22630</v>
      </c>
      <c r="B225" s="1" t="str">
        <f t="shared" si="19"/>
        <v>47894</v>
      </c>
      <c r="C225" s="1" t="str">
        <f>"FRONT ROYAL"</f>
        <v>FRONT ROYAL</v>
      </c>
      <c r="D225" s="1" t="str">
        <f t="shared" si="20"/>
        <v>VA</v>
      </c>
      <c r="E225" s="2">
        <v>1</v>
      </c>
      <c r="F225" s="2">
        <v>1</v>
      </c>
      <c r="G225" s="2">
        <v>1</v>
      </c>
      <c r="H225" s="2">
        <v>1</v>
      </c>
    </row>
    <row r="226" spans="1:8" x14ac:dyDescent="0.25">
      <c r="A226" s="1" t="str">
        <f>"33004"</f>
        <v>33004</v>
      </c>
      <c r="B226" s="1" t="str">
        <f>"22744"</f>
        <v>22744</v>
      </c>
      <c r="C226" s="1" t="str">
        <f>"DANIA"</f>
        <v>DANIA</v>
      </c>
      <c r="D226" s="1" t="str">
        <f t="shared" ref="D226:D234" si="21">"FL"</f>
        <v>FL</v>
      </c>
      <c r="E226" s="2">
        <v>1</v>
      </c>
      <c r="F226" s="2">
        <v>1</v>
      </c>
      <c r="G226" s="2">
        <v>1</v>
      </c>
      <c r="H226" s="2">
        <v>1</v>
      </c>
    </row>
    <row r="227" spans="1:8" x14ac:dyDescent="0.25">
      <c r="A227" s="1" t="str">
        <f>"33034"</f>
        <v>33034</v>
      </c>
      <c r="B227" s="1" t="str">
        <f>"33124"</f>
        <v>33124</v>
      </c>
      <c r="C227" s="1" t="str">
        <f>"HOMESTEAD"</f>
        <v>HOMESTEAD</v>
      </c>
      <c r="D227" s="1" t="str">
        <f t="shared" si="21"/>
        <v>FL</v>
      </c>
      <c r="E227" s="2">
        <v>1</v>
      </c>
      <c r="F227" s="2">
        <v>1</v>
      </c>
      <c r="G227" s="2">
        <v>1</v>
      </c>
      <c r="H227" s="2">
        <v>1</v>
      </c>
    </row>
    <row r="228" spans="1:8" x14ac:dyDescent="0.25">
      <c r="A228" s="1" t="str">
        <f>"33028"</f>
        <v>33028</v>
      </c>
      <c r="B228" s="1" t="str">
        <f>"22744"</f>
        <v>22744</v>
      </c>
      <c r="C228" s="1" t="str">
        <f>"PEMBROKE PINES"</f>
        <v>PEMBROKE PINES</v>
      </c>
      <c r="D228" s="1" t="str">
        <f t="shared" si="21"/>
        <v>FL</v>
      </c>
      <c r="E228" s="2">
        <v>1</v>
      </c>
      <c r="F228" s="2">
        <v>1</v>
      </c>
      <c r="G228" s="2">
        <v>1</v>
      </c>
      <c r="H228" s="2">
        <v>1</v>
      </c>
    </row>
    <row r="229" spans="1:8" x14ac:dyDescent="0.25">
      <c r="A229" s="1" t="str">
        <f>"33169"</f>
        <v>33169</v>
      </c>
      <c r="B229" s="1" t="str">
        <f>"33124"</f>
        <v>33124</v>
      </c>
      <c r="C229" s="1" t="str">
        <f>"MIAMI"</f>
        <v>MIAMI</v>
      </c>
      <c r="D229" s="1" t="str">
        <f t="shared" si="21"/>
        <v>FL</v>
      </c>
      <c r="E229" s="2">
        <v>1</v>
      </c>
      <c r="F229" s="2">
        <v>1</v>
      </c>
      <c r="G229" s="2">
        <v>1</v>
      </c>
      <c r="H229" s="2">
        <v>1</v>
      </c>
    </row>
    <row r="230" spans="1:8" x14ac:dyDescent="0.25">
      <c r="A230" s="1" t="str">
        <f>"33173"</f>
        <v>33173</v>
      </c>
      <c r="B230" s="1" t="str">
        <f>"33124"</f>
        <v>33124</v>
      </c>
      <c r="C230" s="1" t="str">
        <f>"MIAMI"</f>
        <v>MIAMI</v>
      </c>
      <c r="D230" s="1" t="str">
        <f t="shared" si="21"/>
        <v>FL</v>
      </c>
      <c r="E230" s="2">
        <v>1</v>
      </c>
      <c r="F230" s="2">
        <v>1</v>
      </c>
      <c r="G230" s="2">
        <v>1</v>
      </c>
      <c r="H230" s="2">
        <v>1</v>
      </c>
    </row>
    <row r="231" spans="1:8" x14ac:dyDescent="0.25">
      <c r="A231" s="1" t="str">
        <f>"33180"</f>
        <v>33180</v>
      </c>
      <c r="B231" s="1" t="str">
        <f>"33124"</f>
        <v>33124</v>
      </c>
      <c r="C231" s="1" t="str">
        <f>"MIAMI"</f>
        <v>MIAMI</v>
      </c>
      <c r="D231" s="1" t="str">
        <f t="shared" si="21"/>
        <v>FL</v>
      </c>
      <c r="E231" s="2">
        <v>1</v>
      </c>
      <c r="F231" s="2">
        <v>1</v>
      </c>
      <c r="G231" s="2">
        <v>1</v>
      </c>
      <c r="H231" s="2">
        <v>1</v>
      </c>
    </row>
    <row r="232" spans="1:8" x14ac:dyDescent="0.25">
      <c r="A232" s="1" t="str">
        <f>"33182"</f>
        <v>33182</v>
      </c>
      <c r="B232" s="1" t="str">
        <f>"33124"</f>
        <v>33124</v>
      </c>
      <c r="C232" s="1" t="str">
        <f>"MIAMI"</f>
        <v>MIAMI</v>
      </c>
      <c r="D232" s="1" t="str">
        <f t="shared" si="21"/>
        <v>FL</v>
      </c>
      <c r="E232" s="2">
        <v>1</v>
      </c>
      <c r="F232" s="2">
        <v>1</v>
      </c>
      <c r="G232" s="2">
        <v>1</v>
      </c>
      <c r="H232" s="2">
        <v>1</v>
      </c>
    </row>
    <row r="233" spans="1:8" x14ac:dyDescent="0.25">
      <c r="A233" s="1" t="str">
        <f>"33158"</f>
        <v>33158</v>
      </c>
      <c r="B233" s="1" t="str">
        <f>"33124"</f>
        <v>33124</v>
      </c>
      <c r="C233" s="1" t="str">
        <f>"MIAMI"</f>
        <v>MIAMI</v>
      </c>
      <c r="D233" s="1" t="str">
        <f t="shared" si="21"/>
        <v>FL</v>
      </c>
      <c r="E233" s="2">
        <v>1</v>
      </c>
      <c r="F233" s="2">
        <v>1</v>
      </c>
      <c r="G233" s="2">
        <v>1</v>
      </c>
      <c r="H233" s="2">
        <v>1</v>
      </c>
    </row>
    <row r="234" spans="1:8" x14ac:dyDescent="0.25">
      <c r="A234" s="1" t="str">
        <f>"33467"</f>
        <v>33467</v>
      </c>
      <c r="B234" s="1" t="str">
        <f>"48424"</f>
        <v>48424</v>
      </c>
      <c r="C234" s="1" t="str">
        <f>"LAKE WORTH"</f>
        <v>LAKE WORTH</v>
      </c>
      <c r="D234" s="1" t="str">
        <f t="shared" si="21"/>
        <v>FL</v>
      </c>
      <c r="E234" s="2">
        <v>1</v>
      </c>
      <c r="F234" s="2">
        <v>1</v>
      </c>
      <c r="G234" s="2">
        <v>1</v>
      </c>
      <c r="H234" s="2">
        <v>1</v>
      </c>
    </row>
    <row r="235" spans="1:8" x14ac:dyDescent="0.25">
      <c r="A235" s="1" t="str">
        <f>"46324"</f>
        <v>46324</v>
      </c>
      <c r="B235" s="1" t="str">
        <f>"23844"</f>
        <v>23844</v>
      </c>
      <c r="C235" s="1" t="str">
        <f>"HAMMOND"</f>
        <v>HAMMOND</v>
      </c>
      <c r="D235" s="1" t="str">
        <f>"IN"</f>
        <v>IN</v>
      </c>
      <c r="E235" s="2">
        <v>1</v>
      </c>
      <c r="F235" s="2">
        <v>1</v>
      </c>
      <c r="G235" s="2">
        <v>1</v>
      </c>
      <c r="H235" s="2">
        <v>1</v>
      </c>
    </row>
    <row r="236" spans="1:8" x14ac:dyDescent="0.25">
      <c r="A236" s="1" t="str">
        <f>"48036"</f>
        <v>48036</v>
      </c>
      <c r="B236" s="1" t="str">
        <f>"47664"</f>
        <v>47664</v>
      </c>
      <c r="C236" s="1" t="str">
        <f>"CLINTON TOWNSHIP"</f>
        <v>CLINTON TOWNSHIP</v>
      </c>
      <c r="D236" s="1" t="str">
        <f t="shared" ref="D236:D242" si="22">"MI"</f>
        <v>MI</v>
      </c>
      <c r="E236" s="2">
        <v>1</v>
      </c>
      <c r="F236" s="2">
        <v>1</v>
      </c>
      <c r="G236" s="2">
        <v>1</v>
      </c>
      <c r="H236" s="2">
        <v>1</v>
      </c>
    </row>
    <row r="237" spans="1:8" x14ac:dyDescent="0.25">
      <c r="A237" s="1" t="str">
        <f>"48014"</f>
        <v>48014</v>
      </c>
      <c r="B237" s="1" t="str">
        <f>"47664"</f>
        <v>47664</v>
      </c>
      <c r="C237" s="1" t="str">
        <f>"CAPAC"</f>
        <v>CAPAC</v>
      </c>
      <c r="D237" s="1" t="str">
        <f t="shared" si="22"/>
        <v>MI</v>
      </c>
      <c r="E237" s="2">
        <v>1</v>
      </c>
      <c r="F237" s="2">
        <v>1</v>
      </c>
      <c r="G237" s="2">
        <v>1</v>
      </c>
      <c r="H237" s="2">
        <v>1</v>
      </c>
    </row>
    <row r="238" spans="1:8" x14ac:dyDescent="0.25">
      <c r="A238" s="1" t="str">
        <f>"48022"</f>
        <v>48022</v>
      </c>
      <c r="B238" s="1" t="str">
        <f>"47664"</f>
        <v>47664</v>
      </c>
      <c r="C238" s="1" t="str">
        <f>"EMMETT"</f>
        <v>EMMETT</v>
      </c>
      <c r="D238" s="1" t="str">
        <f t="shared" si="22"/>
        <v>MI</v>
      </c>
      <c r="E238" s="2">
        <v>1</v>
      </c>
      <c r="F238" s="2">
        <v>1</v>
      </c>
      <c r="G238" s="2">
        <v>1</v>
      </c>
      <c r="H238" s="2">
        <v>1</v>
      </c>
    </row>
    <row r="239" spans="1:8" x14ac:dyDescent="0.25">
      <c r="A239" s="1" t="str">
        <f>"48085"</f>
        <v>48085</v>
      </c>
      <c r="B239" s="1" t="str">
        <f>"47664"</f>
        <v>47664</v>
      </c>
      <c r="C239" s="1" t="str">
        <f>"TROY"</f>
        <v>TROY</v>
      </c>
      <c r="D239" s="1" t="str">
        <f t="shared" si="22"/>
        <v>MI</v>
      </c>
      <c r="E239" s="2">
        <v>1</v>
      </c>
      <c r="F239" s="2">
        <v>1</v>
      </c>
      <c r="G239" s="2">
        <v>1</v>
      </c>
      <c r="H239" s="2">
        <v>1</v>
      </c>
    </row>
    <row r="240" spans="1:8" x14ac:dyDescent="0.25">
      <c r="A240" s="1" t="str">
        <f>"48462"</f>
        <v>48462</v>
      </c>
      <c r="B240" s="1" t="str">
        <f>"47664"</f>
        <v>47664</v>
      </c>
      <c r="C240" s="1" t="str">
        <f>"ORTONVILLE"</f>
        <v>ORTONVILLE</v>
      </c>
      <c r="D240" s="1" t="str">
        <f t="shared" si="22"/>
        <v>MI</v>
      </c>
      <c r="E240" s="2">
        <v>1</v>
      </c>
      <c r="F240" s="2">
        <v>1</v>
      </c>
      <c r="G240" s="2">
        <v>1</v>
      </c>
      <c r="H240" s="2">
        <v>1</v>
      </c>
    </row>
    <row r="241" spans="1:8" x14ac:dyDescent="0.25">
      <c r="A241" s="1" t="str">
        <f>"48212"</f>
        <v>48212</v>
      </c>
      <c r="B241" s="1" t="str">
        <f>"19804"</f>
        <v>19804</v>
      </c>
      <c r="C241" s="1" t="str">
        <f>"HAMTRAMCK"</f>
        <v>HAMTRAMCK</v>
      </c>
      <c r="D241" s="1" t="str">
        <f t="shared" si="22"/>
        <v>MI</v>
      </c>
      <c r="E241" s="2">
        <v>1</v>
      </c>
      <c r="F241" s="2">
        <v>1</v>
      </c>
      <c r="G241" s="2">
        <v>1</v>
      </c>
      <c r="H241" s="2">
        <v>1</v>
      </c>
    </row>
    <row r="242" spans="1:8" x14ac:dyDescent="0.25">
      <c r="A242" s="1" t="str">
        <f>"48218"</f>
        <v>48218</v>
      </c>
      <c r="B242" s="1" t="str">
        <f>"19804"</f>
        <v>19804</v>
      </c>
      <c r="C242" s="1" t="str">
        <f>"RIVER ROUGE"</f>
        <v>RIVER ROUGE</v>
      </c>
      <c r="D242" s="1" t="str">
        <f t="shared" si="22"/>
        <v>MI</v>
      </c>
      <c r="E242" s="2">
        <v>1</v>
      </c>
      <c r="F242" s="2">
        <v>1</v>
      </c>
      <c r="G242" s="2">
        <v>1</v>
      </c>
      <c r="H242" s="2">
        <v>1</v>
      </c>
    </row>
    <row r="243" spans="1:8" x14ac:dyDescent="0.25">
      <c r="A243" s="1" t="str">
        <f>"53142"</f>
        <v>53142</v>
      </c>
      <c r="B243" s="1" t="str">
        <f>"29404"</f>
        <v>29404</v>
      </c>
      <c r="C243" s="1" t="str">
        <f>"KENOSHA"</f>
        <v>KENOSHA</v>
      </c>
      <c r="D243" s="1" t="str">
        <f>"WI"</f>
        <v>WI</v>
      </c>
      <c r="E243" s="2">
        <v>1</v>
      </c>
      <c r="F243" s="2">
        <v>1</v>
      </c>
      <c r="G243" s="2">
        <v>1</v>
      </c>
      <c r="H243" s="2">
        <v>1</v>
      </c>
    </row>
    <row r="244" spans="1:8" x14ac:dyDescent="0.25">
      <c r="A244" s="1" t="str">
        <f>"60403"</f>
        <v>60403</v>
      </c>
      <c r="B244" s="1" t="str">
        <f>"16984"</f>
        <v>16984</v>
      </c>
      <c r="C244" s="1" t="str">
        <f>"CREST HILL"</f>
        <v>CREST HILL</v>
      </c>
      <c r="D244" s="1" t="str">
        <f t="shared" ref="D244:D261" si="23">"IL"</f>
        <v>IL</v>
      </c>
      <c r="E244" s="2">
        <v>1</v>
      </c>
      <c r="F244" s="2">
        <v>1</v>
      </c>
      <c r="G244" s="2">
        <v>1</v>
      </c>
      <c r="H244" s="2">
        <v>1</v>
      </c>
    </row>
    <row r="245" spans="1:8" x14ac:dyDescent="0.25">
      <c r="A245" s="1" t="str">
        <f>"60475"</f>
        <v>60475</v>
      </c>
      <c r="B245" s="1" t="str">
        <f>"16984"</f>
        <v>16984</v>
      </c>
      <c r="C245" s="1" t="str">
        <f>"STEGER"</f>
        <v>STEGER</v>
      </c>
      <c r="D245" s="1" t="str">
        <f t="shared" si="23"/>
        <v>IL</v>
      </c>
      <c r="E245" s="2">
        <v>1</v>
      </c>
      <c r="F245" s="2">
        <v>1</v>
      </c>
      <c r="G245" s="2">
        <v>1</v>
      </c>
      <c r="H245" s="2">
        <v>1</v>
      </c>
    </row>
    <row r="246" spans="1:8" x14ac:dyDescent="0.25">
      <c r="A246" s="1" t="str">
        <f>"60599"</f>
        <v>60599</v>
      </c>
      <c r="B246" s="1" t="str">
        <f>"16984"</f>
        <v>16984</v>
      </c>
      <c r="C246" s="1" t="str">
        <f>"FOX VALLEY"</f>
        <v>FOX VALLEY</v>
      </c>
      <c r="D246" s="1" t="str">
        <f t="shared" si="23"/>
        <v>IL</v>
      </c>
      <c r="E246" s="2">
        <v>0</v>
      </c>
      <c r="F246" s="2">
        <v>1</v>
      </c>
      <c r="G246" s="2">
        <v>1</v>
      </c>
      <c r="H246" s="2">
        <v>1</v>
      </c>
    </row>
    <row r="247" spans="1:8" x14ac:dyDescent="0.25">
      <c r="A247" s="1" t="str">
        <f>"60514"</f>
        <v>60514</v>
      </c>
      <c r="B247" s="1" t="str">
        <f>"16984"</f>
        <v>16984</v>
      </c>
      <c r="C247" s="1" t="str">
        <f>"CLARENDON HILLS"</f>
        <v>CLARENDON HILLS</v>
      </c>
      <c r="D247" s="1" t="str">
        <f t="shared" si="23"/>
        <v>IL</v>
      </c>
      <c r="E247" s="2">
        <v>1</v>
      </c>
      <c r="F247" s="2">
        <v>1</v>
      </c>
      <c r="G247" s="2">
        <v>1</v>
      </c>
      <c r="H247" s="2">
        <v>1</v>
      </c>
    </row>
    <row r="248" spans="1:8" x14ac:dyDescent="0.25">
      <c r="A248" s="1" t="str">
        <f>"60033"</f>
        <v>60033</v>
      </c>
      <c r="B248" s="1" t="str">
        <f>"16984"</f>
        <v>16984</v>
      </c>
      <c r="C248" s="1" t="str">
        <f>"HARVARD"</f>
        <v>HARVARD</v>
      </c>
      <c r="D248" s="1" t="str">
        <f t="shared" si="23"/>
        <v>IL</v>
      </c>
      <c r="E248" s="2">
        <v>1</v>
      </c>
      <c r="F248" s="2">
        <v>1</v>
      </c>
      <c r="G248" s="2">
        <v>1</v>
      </c>
      <c r="H248" s="2">
        <v>1</v>
      </c>
    </row>
    <row r="249" spans="1:8" x14ac:dyDescent="0.25">
      <c r="A249" s="1" t="str">
        <f>"60046"</f>
        <v>60046</v>
      </c>
      <c r="B249" s="1" t="str">
        <f>"29404"</f>
        <v>29404</v>
      </c>
      <c r="C249" s="1" t="str">
        <f>"LAKE VILLA"</f>
        <v>LAKE VILLA</v>
      </c>
      <c r="D249" s="1" t="str">
        <f t="shared" si="23"/>
        <v>IL</v>
      </c>
      <c r="E249" s="2">
        <v>1</v>
      </c>
      <c r="F249" s="2">
        <v>1</v>
      </c>
      <c r="G249" s="2">
        <v>1</v>
      </c>
      <c r="H249" s="2">
        <v>1</v>
      </c>
    </row>
    <row r="250" spans="1:8" x14ac:dyDescent="0.25">
      <c r="A250" s="1" t="str">
        <f>"60118"</f>
        <v>60118</v>
      </c>
      <c r="B250" s="1" t="str">
        <f>"20994"</f>
        <v>20994</v>
      </c>
      <c r="C250" s="1" t="str">
        <f>"DUNDEE"</f>
        <v>DUNDEE</v>
      </c>
      <c r="D250" s="1" t="str">
        <f t="shared" si="23"/>
        <v>IL</v>
      </c>
      <c r="E250" s="2">
        <v>1</v>
      </c>
      <c r="F250" s="2">
        <v>1</v>
      </c>
      <c r="G250" s="2">
        <v>1</v>
      </c>
      <c r="H250" s="2">
        <v>1</v>
      </c>
    </row>
    <row r="251" spans="1:8" x14ac:dyDescent="0.25">
      <c r="A251" s="1" t="str">
        <f>"60108"</f>
        <v>60108</v>
      </c>
      <c r="B251" s="1" t="str">
        <f>"16984"</f>
        <v>16984</v>
      </c>
      <c r="C251" s="1" t="str">
        <f>"BLOOMINGDALE"</f>
        <v>BLOOMINGDALE</v>
      </c>
      <c r="D251" s="1" t="str">
        <f t="shared" si="23"/>
        <v>IL</v>
      </c>
      <c r="E251" s="2">
        <v>1</v>
      </c>
      <c r="F251" s="2">
        <v>1</v>
      </c>
      <c r="G251" s="2">
        <v>1</v>
      </c>
      <c r="H251" s="2">
        <v>1</v>
      </c>
    </row>
    <row r="252" spans="1:8" x14ac:dyDescent="0.25">
      <c r="A252" s="1" t="str">
        <f>"60110"</f>
        <v>60110</v>
      </c>
      <c r="B252" s="1" t="str">
        <f>"20994"</f>
        <v>20994</v>
      </c>
      <c r="C252" s="1" t="str">
        <f>"CARPENTERSVILLE"</f>
        <v>CARPENTERSVILLE</v>
      </c>
      <c r="D252" s="1" t="str">
        <f t="shared" si="23"/>
        <v>IL</v>
      </c>
      <c r="E252" s="2">
        <v>1</v>
      </c>
      <c r="F252" s="2">
        <v>1</v>
      </c>
      <c r="G252" s="2">
        <v>1</v>
      </c>
      <c r="H252" s="2">
        <v>1</v>
      </c>
    </row>
    <row r="253" spans="1:8" x14ac:dyDescent="0.25">
      <c r="A253" s="1" t="str">
        <f>"60077"</f>
        <v>60077</v>
      </c>
      <c r="B253" s="1" t="str">
        <f>"16984"</f>
        <v>16984</v>
      </c>
      <c r="C253" s="1" t="str">
        <f>"SKOKIE"</f>
        <v>SKOKIE</v>
      </c>
      <c r="D253" s="1" t="str">
        <f t="shared" si="23"/>
        <v>IL</v>
      </c>
      <c r="E253" s="2">
        <v>1</v>
      </c>
      <c r="F253" s="2">
        <v>1</v>
      </c>
      <c r="G253" s="2">
        <v>1</v>
      </c>
      <c r="H253" s="2">
        <v>1</v>
      </c>
    </row>
    <row r="254" spans="1:8" x14ac:dyDescent="0.25">
      <c r="A254" s="1" t="str">
        <f>"60098"</f>
        <v>60098</v>
      </c>
      <c r="B254" s="1" t="str">
        <f>"16984"</f>
        <v>16984</v>
      </c>
      <c r="C254" s="1" t="str">
        <f>"WOODSTOCK"</f>
        <v>WOODSTOCK</v>
      </c>
      <c r="D254" s="1" t="str">
        <f t="shared" si="23"/>
        <v>IL</v>
      </c>
      <c r="E254" s="2">
        <v>1</v>
      </c>
      <c r="F254" s="2">
        <v>1</v>
      </c>
      <c r="G254" s="2">
        <v>1</v>
      </c>
      <c r="H254" s="2">
        <v>1</v>
      </c>
    </row>
    <row r="255" spans="1:8" x14ac:dyDescent="0.25">
      <c r="A255" s="1" t="str">
        <f>"60174"</f>
        <v>60174</v>
      </c>
      <c r="B255" s="1" t="str">
        <f>"16984"</f>
        <v>16984</v>
      </c>
      <c r="C255" s="1" t="str">
        <f>"SAINT CHARLES"</f>
        <v>SAINT CHARLES</v>
      </c>
      <c r="D255" s="1" t="str">
        <f t="shared" si="23"/>
        <v>IL</v>
      </c>
      <c r="E255" s="2">
        <v>1.67067459815213E-2</v>
      </c>
      <c r="F255" s="2">
        <v>6.2565172054223099E-3</v>
      </c>
      <c r="G255" s="2">
        <v>2.4855012427506202E-3</v>
      </c>
      <c r="H255" s="2">
        <v>1.4331690636628701E-2</v>
      </c>
    </row>
    <row r="256" spans="1:8" x14ac:dyDescent="0.25">
      <c r="A256" s="1" t="str">
        <f>"60174"</f>
        <v>60174</v>
      </c>
      <c r="B256" s="1" t="str">
        <f>"20994"</f>
        <v>20994</v>
      </c>
      <c r="C256" s="1" t="str">
        <f>"SAINT CHARLES"</f>
        <v>SAINT CHARLES</v>
      </c>
      <c r="D256" s="1" t="str">
        <f t="shared" si="23"/>
        <v>IL</v>
      </c>
      <c r="E256" s="2">
        <v>0.983293254018478</v>
      </c>
      <c r="F256" s="2">
        <v>0.99374348279457703</v>
      </c>
      <c r="G256" s="2">
        <v>0.99751449875724896</v>
      </c>
      <c r="H256" s="2">
        <v>0.98566830936337102</v>
      </c>
    </row>
    <row r="257" spans="1:8" x14ac:dyDescent="0.25">
      <c r="A257" s="1" t="str">
        <f>"60188"</f>
        <v>60188</v>
      </c>
      <c r="B257" s="1" t="str">
        <f>"16984"</f>
        <v>16984</v>
      </c>
      <c r="C257" s="1" t="str">
        <f>"CAROL STREAM"</f>
        <v>CAROL STREAM</v>
      </c>
      <c r="D257" s="1" t="str">
        <f t="shared" si="23"/>
        <v>IL</v>
      </c>
      <c r="E257" s="2">
        <v>1</v>
      </c>
      <c r="F257" s="2">
        <v>1</v>
      </c>
      <c r="G257" s="2">
        <v>1</v>
      </c>
      <c r="H257" s="2">
        <v>1</v>
      </c>
    </row>
    <row r="258" spans="1:8" x14ac:dyDescent="0.25">
      <c r="A258" s="1" t="str">
        <f>"60804"</f>
        <v>60804</v>
      </c>
      <c r="B258" s="1" t="str">
        <f>"16984"</f>
        <v>16984</v>
      </c>
      <c r="C258" s="1" t="str">
        <f>"CICERO"</f>
        <v>CICERO</v>
      </c>
      <c r="D258" s="1" t="str">
        <f t="shared" si="23"/>
        <v>IL</v>
      </c>
      <c r="E258" s="2">
        <v>1</v>
      </c>
      <c r="F258" s="2">
        <v>1</v>
      </c>
      <c r="G258" s="2">
        <v>1</v>
      </c>
      <c r="H258" s="2">
        <v>1</v>
      </c>
    </row>
    <row r="259" spans="1:8" x14ac:dyDescent="0.25">
      <c r="A259" s="1" t="str">
        <f>"60661"</f>
        <v>60661</v>
      </c>
      <c r="B259" s="1" t="str">
        <f>"16984"</f>
        <v>16984</v>
      </c>
      <c r="C259" s="1" t="str">
        <f>"CHICAGO"</f>
        <v>CHICAGO</v>
      </c>
      <c r="D259" s="1" t="str">
        <f t="shared" si="23"/>
        <v>IL</v>
      </c>
      <c r="E259" s="2">
        <v>1</v>
      </c>
      <c r="F259" s="2">
        <v>1</v>
      </c>
      <c r="G259" s="2">
        <v>1</v>
      </c>
      <c r="H259" s="2">
        <v>1</v>
      </c>
    </row>
    <row r="260" spans="1:8" x14ac:dyDescent="0.25">
      <c r="A260" s="1" t="str">
        <f>"60714"</f>
        <v>60714</v>
      </c>
      <c r="B260" s="1" t="str">
        <f>"16984"</f>
        <v>16984</v>
      </c>
      <c r="C260" s="1" t="str">
        <f>"NILES"</f>
        <v>NILES</v>
      </c>
      <c r="D260" s="1" t="str">
        <f t="shared" si="23"/>
        <v>IL</v>
      </c>
      <c r="E260" s="2">
        <v>1</v>
      </c>
      <c r="F260" s="2">
        <v>1</v>
      </c>
      <c r="G260" s="2">
        <v>1</v>
      </c>
      <c r="H260" s="2">
        <v>1</v>
      </c>
    </row>
    <row r="261" spans="1:8" x14ac:dyDescent="0.25">
      <c r="A261" s="1" t="str">
        <f>"60617"</f>
        <v>60617</v>
      </c>
      <c r="B261" s="1" t="str">
        <f>"16984"</f>
        <v>16984</v>
      </c>
      <c r="C261" s="1" t="str">
        <f>"CHICAGO"</f>
        <v>CHICAGO</v>
      </c>
      <c r="D261" s="1" t="str">
        <f t="shared" si="23"/>
        <v>IL</v>
      </c>
      <c r="E261" s="2">
        <v>1</v>
      </c>
      <c r="F261" s="2">
        <v>1</v>
      </c>
      <c r="G261" s="2">
        <v>1</v>
      </c>
      <c r="H261" s="2">
        <v>1</v>
      </c>
    </row>
    <row r="262" spans="1:8" x14ac:dyDescent="0.25">
      <c r="A262" s="1" t="str">
        <f>"75033"</f>
        <v>75033</v>
      </c>
      <c r="B262" s="1" t="str">
        <f t="shared" ref="B262:B267" si="24">"19124"</f>
        <v>19124</v>
      </c>
      <c r="C262" s="1" t="str">
        <f>"FRISCO"</f>
        <v>FRISCO</v>
      </c>
      <c r="D262" s="1" t="str">
        <f t="shared" ref="D262:D271" si="25">"TX"</f>
        <v>TX</v>
      </c>
      <c r="E262" s="2">
        <v>1</v>
      </c>
      <c r="F262" s="2">
        <v>1</v>
      </c>
      <c r="G262" s="2">
        <v>1</v>
      </c>
      <c r="H262" s="2">
        <v>1</v>
      </c>
    </row>
    <row r="263" spans="1:8" x14ac:dyDescent="0.25">
      <c r="A263" s="1" t="str">
        <f>"75023"</f>
        <v>75023</v>
      </c>
      <c r="B263" s="1" t="str">
        <f t="shared" si="24"/>
        <v>19124</v>
      </c>
      <c r="C263" s="1" t="str">
        <f>"PLANO"</f>
        <v>PLANO</v>
      </c>
      <c r="D263" s="1" t="str">
        <f t="shared" si="25"/>
        <v>TX</v>
      </c>
      <c r="E263" s="2">
        <v>1</v>
      </c>
      <c r="F263" s="2">
        <v>1</v>
      </c>
      <c r="G263" s="2">
        <v>1</v>
      </c>
      <c r="H263" s="2">
        <v>1</v>
      </c>
    </row>
    <row r="264" spans="1:8" x14ac:dyDescent="0.25">
      <c r="A264" s="1" t="str">
        <f>"75061"</f>
        <v>75061</v>
      </c>
      <c r="B264" s="1" t="str">
        <f t="shared" si="24"/>
        <v>19124</v>
      </c>
      <c r="C264" s="1" t="str">
        <f>"IRVING"</f>
        <v>IRVING</v>
      </c>
      <c r="D264" s="1" t="str">
        <f t="shared" si="25"/>
        <v>TX</v>
      </c>
      <c r="E264" s="2">
        <v>1</v>
      </c>
      <c r="F264" s="2">
        <v>1</v>
      </c>
      <c r="G264" s="2">
        <v>1</v>
      </c>
      <c r="H264" s="2">
        <v>1</v>
      </c>
    </row>
    <row r="265" spans="1:8" x14ac:dyDescent="0.25">
      <c r="A265" s="1" t="str">
        <f>"75043"</f>
        <v>75043</v>
      </c>
      <c r="B265" s="1" t="str">
        <f t="shared" si="24"/>
        <v>19124</v>
      </c>
      <c r="C265" s="1" t="str">
        <f>"GARLAND"</f>
        <v>GARLAND</v>
      </c>
      <c r="D265" s="1" t="str">
        <f t="shared" si="25"/>
        <v>TX</v>
      </c>
      <c r="E265" s="2">
        <v>1</v>
      </c>
      <c r="F265" s="2">
        <v>1</v>
      </c>
      <c r="G265" s="2">
        <v>1</v>
      </c>
      <c r="H265" s="2">
        <v>1</v>
      </c>
    </row>
    <row r="266" spans="1:8" x14ac:dyDescent="0.25">
      <c r="A266" s="1" t="str">
        <f>"75119"</f>
        <v>75119</v>
      </c>
      <c r="B266" s="1" t="str">
        <f t="shared" si="24"/>
        <v>19124</v>
      </c>
      <c r="C266" s="1" t="str">
        <f>"ENNIS"</f>
        <v>ENNIS</v>
      </c>
      <c r="D266" s="1" t="str">
        <f t="shared" si="25"/>
        <v>TX</v>
      </c>
      <c r="E266" s="2">
        <v>1</v>
      </c>
      <c r="F266" s="2">
        <v>1</v>
      </c>
      <c r="G266" s="2">
        <v>1</v>
      </c>
      <c r="H266" s="2">
        <v>1</v>
      </c>
    </row>
    <row r="267" spans="1:8" x14ac:dyDescent="0.25">
      <c r="A267" s="1" t="str">
        <f>"76051"</f>
        <v>76051</v>
      </c>
      <c r="B267" s="1" t="str">
        <f t="shared" si="24"/>
        <v>19124</v>
      </c>
      <c r="C267" s="1" t="str">
        <f>"GRAPEVINE"</f>
        <v>GRAPEVINE</v>
      </c>
      <c r="D267" s="1" t="str">
        <f t="shared" si="25"/>
        <v>TX</v>
      </c>
      <c r="E267" s="2">
        <v>0</v>
      </c>
      <c r="F267" s="2">
        <v>1.3841998649561101E-2</v>
      </c>
      <c r="G267" s="2">
        <v>1.34493670886075E-2</v>
      </c>
      <c r="H267" s="2">
        <v>2.0876826722338198E-3</v>
      </c>
    </row>
    <row r="268" spans="1:8" x14ac:dyDescent="0.25">
      <c r="A268" s="1" t="str">
        <f>"76051"</f>
        <v>76051</v>
      </c>
      <c r="B268" s="1" t="str">
        <f>"23104"</f>
        <v>23104</v>
      </c>
      <c r="C268" s="1" t="str">
        <f>"GRAPEVINE"</f>
        <v>GRAPEVINE</v>
      </c>
      <c r="D268" s="1" t="str">
        <f t="shared" si="25"/>
        <v>TX</v>
      </c>
      <c r="E268" s="2">
        <v>1</v>
      </c>
      <c r="F268" s="2">
        <v>0.98615800135043796</v>
      </c>
      <c r="G268" s="2">
        <v>0.986550632911392</v>
      </c>
      <c r="H268" s="2">
        <v>0.99791231732776597</v>
      </c>
    </row>
    <row r="269" spans="1:8" x14ac:dyDescent="0.25">
      <c r="A269" s="1" t="str">
        <f>"76164"</f>
        <v>76164</v>
      </c>
      <c r="B269" s="1" t="str">
        <f>"23104"</f>
        <v>23104</v>
      </c>
      <c r="C269" s="1" t="str">
        <f>"FORT WORTH"</f>
        <v>FORT WORTH</v>
      </c>
      <c r="D269" s="1" t="str">
        <f t="shared" si="25"/>
        <v>TX</v>
      </c>
      <c r="E269" s="2">
        <v>1</v>
      </c>
      <c r="F269" s="2">
        <v>1</v>
      </c>
      <c r="G269" s="2">
        <v>1</v>
      </c>
      <c r="H269" s="2">
        <v>1</v>
      </c>
    </row>
    <row r="270" spans="1:8" x14ac:dyDescent="0.25">
      <c r="A270" s="1" t="str">
        <f>"76009"</f>
        <v>76009</v>
      </c>
      <c r="B270" s="1" t="str">
        <f>"23104"</f>
        <v>23104</v>
      </c>
      <c r="C270" s="1" t="str">
        <f>"ALVARADO"</f>
        <v>ALVARADO</v>
      </c>
      <c r="D270" s="1" t="str">
        <f t="shared" si="25"/>
        <v>TX</v>
      </c>
      <c r="E270" s="2">
        <v>1</v>
      </c>
      <c r="F270" s="2">
        <v>1</v>
      </c>
      <c r="G270" s="2">
        <v>1</v>
      </c>
      <c r="H270" s="2">
        <v>1</v>
      </c>
    </row>
    <row r="271" spans="1:8" x14ac:dyDescent="0.25">
      <c r="A271" s="1" t="str">
        <f>"76006"</f>
        <v>76006</v>
      </c>
      <c r="B271" s="1" t="str">
        <f>"23104"</f>
        <v>23104</v>
      </c>
      <c r="C271" s="1" t="str">
        <f>"ARLINGTON"</f>
        <v>ARLINGTON</v>
      </c>
      <c r="D271" s="1" t="str">
        <f t="shared" si="25"/>
        <v>TX</v>
      </c>
      <c r="E271" s="2">
        <v>1</v>
      </c>
      <c r="F271" s="2">
        <v>1</v>
      </c>
      <c r="G271" s="2">
        <v>1</v>
      </c>
      <c r="H271" s="2">
        <v>1</v>
      </c>
    </row>
    <row r="272" spans="1:8" x14ac:dyDescent="0.25">
      <c r="A272" s="1" t="str">
        <f>"90022"</f>
        <v>90022</v>
      </c>
      <c r="B272" s="1" t="str">
        <f t="shared" ref="B272:B284" si="26">"31084"</f>
        <v>31084</v>
      </c>
      <c r="C272" s="1" t="str">
        <f>"LOS ANGELES"</f>
        <v>LOS ANGELES</v>
      </c>
      <c r="D272" s="1" t="str">
        <f t="shared" ref="D272:D291" si="27">"CA"</f>
        <v>CA</v>
      </c>
      <c r="E272" s="2">
        <v>1</v>
      </c>
      <c r="F272" s="2">
        <v>1</v>
      </c>
      <c r="G272" s="2">
        <v>1</v>
      </c>
      <c r="H272" s="2">
        <v>1</v>
      </c>
    </row>
    <row r="273" spans="1:8" x14ac:dyDescent="0.25">
      <c r="A273" s="1" t="str">
        <f>"90089"</f>
        <v>90089</v>
      </c>
      <c r="B273" s="1" t="str">
        <f t="shared" si="26"/>
        <v>31084</v>
      </c>
      <c r="C273" s="1" t="str">
        <f>"LOS ANGELES"</f>
        <v>LOS ANGELES</v>
      </c>
      <c r="D273" s="1" t="str">
        <f t="shared" si="27"/>
        <v>CA</v>
      </c>
      <c r="E273" s="2">
        <v>1</v>
      </c>
      <c r="F273" s="2">
        <v>1</v>
      </c>
      <c r="G273" s="2">
        <v>1</v>
      </c>
      <c r="H273" s="2">
        <v>1</v>
      </c>
    </row>
    <row r="274" spans="1:8" x14ac:dyDescent="0.25">
      <c r="A274" s="1" t="str">
        <f>"90250"</f>
        <v>90250</v>
      </c>
      <c r="B274" s="1" t="str">
        <f t="shared" si="26"/>
        <v>31084</v>
      </c>
      <c r="C274" s="1" t="str">
        <f>"HAWTHORNE"</f>
        <v>HAWTHORNE</v>
      </c>
      <c r="D274" s="1" t="str">
        <f t="shared" si="27"/>
        <v>CA</v>
      </c>
      <c r="E274" s="2">
        <v>1</v>
      </c>
      <c r="F274" s="2">
        <v>1</v>
      </c>
      <c r="G274" s="2">
        <v>1</v>
      </c>
      <c r="H274" s="2">
        <v>1</v>
      </c>
    </row>
    <row r="275" spans="1:8" x14ac:dyDescent="0.25">
      <c r="A275" s="1" t="str">
        <f>"90247"</f>
        <v>90247</v>
      </c>
      <c r="B275" s="1" t="str">
        <f t="shared" si="26"/>
        <v>31084</v>
      </c>
      <c r="C275" s="1" t="str">
        <f>"GARDENA"</f>
        <v>GARDENA</v>
      </c>
      <c r="D275" s="1" t="str">
        <f t="shared" si="27"/>
        <v>CA</v>
      </c>
      <c r="E275" s="2">
        <v>1</v>
      </c>
      <c r="F275" s="2">
        <v>1</v>
      </c>
      <c r="G275" s="2">
        <v>1</v>
      </c>
      <c r="H275" s="2">
        <v>1</v>
      </c>
    </row>
    <row r="276" spans="1:8" x14ac:dyDescent="0.25">
      <c r="A276" s="1" t="str">
        <f>"90009"</f>
        <v>90009</v>
      </c>
      <c r="B276" s="1" t="str">
        <f t="shared" si="26"/>
        <v>31084</v>
      </c>
      <c r="C276" s="1" t="str">
        <f>"LOS ANGELES"</f>
        <v>LOS ANGELES</v>
      </c>
      <c r="D276" s="1" t="str">
        <f t="shared" si="27"/>
        <v>CA</v>
      </c>
      <c r="E276" s="2">
        <v>1</v>
      </c>
      <c r="F276" s="2">
        <v>1</v>
      </c>
      <c r="G276" s="2">
        <v>1</v>
      </c>
      <c r="H276" s="2">
        <v>1</v>
      </c>
    </row>
    <row r="277" spans="1:8" x14ac:dyDescent="0.25">
      <c r="A277" s="1" t="str">
        <f>"91364"</f>
        <v>91364</v>
      </c>
      <c r="B277" s="1" t="str">
        <f t="shared" si="26"/>
        <v>31084</v>
      </c>
      <c r="C277" s="1" t="str">
        <f>"WOODLAND HILLS"</f>
        <v>WOODLAND HILLS</v>
      </c>
      <c r="D277" s="1" t="str">
        <f t="shared" si="27"/>
        <v>CA</v>
      </c>
      <c r="E277" s="2">
        <v>1</v>
      </c>
      <c r="F277" s="2">
        <v>1</v>
      </c>
      <c r="G277" s="2">
        <v>1</v>
      </c>
      <c r="H277" s="2">
        <v>1</v>
      </c>
    </row>
    <row r="278" spans="1:8" x14ac:dyDescent="0.25">
      <c r="A278" s="1" t="str">
        <f>"90711"</f>
        <v>90711</v>
      </c>
      <c r="B278" s="1" t="str">
        <f t="shared" si="26"/>
        <v>31084</v>
      </c>
      <c r="C278" s="1" t="str">
        <f>"LAKEWOOD"</f>
        <v>LAKEWOOD</v>
      </c>
      <c r="D278" s="1" t="str">
        <f t="shared" si="27"/>
        <v>CA</v>
      </c>
      <c r="E278" s="2">
        <v>1</v>
      </c>
      <c r="F278" s="2">
        <v>1</v>
      </c>
      <c r="G278" s="2">
        <v>1</v>
      </c>
      <c r="H278" s="2">
        <v>1</v>
      </c>
    </row>
    <row r="279" spans="1:8" x14ac:dyDescent="0.25">
      <c r="A279" s="1" t="str">
        <f>"90508"</f>
        <v>90508</v>
      </c>
      <c r="B279" s="1" t="str">
        <f t="shared" si="26"/>
        <v>31084</v>
      </c>
      <c r="C279" s="1" t="str">
        <f>"TORRANCE"</f>
        <v>TORRANCE</v>
      </c>
      <c r="D279" s="1" t="str">
        <f t="shared" si="27"/>
        <v>CA</v>
      </c>
      <c r="E279" s="2">
        <v>1</v>
      </c>
      <c r="F279" s="2">
        <v>1</v>
      </c>
      <c r="G279" s="2">
        <v>1</v>
      </c>
      <c r="H279" s="2">
        <v>1</v>
      </c>
    </row>
    <row r="280" spans="1:8" x14ac:dyDescent="0.25">
      <c r="A280" s="1" t="str">
        <f>"91605"</f>
        <v>91605</v>
      </c>
      <c r="B280" s="1" t="str">
        <f t="shared" si="26"/>
        <v>31084</v>
      </c>
      <c r="C280" s="1" t="str">
        <f>"NORTH HOLLYWOOD"</f>
        <v>NORTH HOLLYWOOD</v>
      </c>
      <c r="D280" s="1" t="str">
        <f t="shared" si="27"/>
        <v>CA</v>
      </c>
      <c r="E280" s="2">
        <v>1</v>
      </c>
      <c r="F280" s="2">
        <v>1</v>
      </c>
      <c r="G280" s="2">
        <v>1</v>
      </c>
      <c r="H280" s="2">
        <v>1</v>
      </c>
    </row>
    <row r="281" spans="1:8" x14ac:dyDescent="0.25">
      <c r="A281" s="1" t="str">
        <f>"91390"</f>
        <v>91390</v>
      </c>
      <c r="B281" s="1" t="str">
        <f t="shared" si="26"/>
        <v>31084</v>
      </c>
      <c r="C281" s="1" t="str">
        <f>"SANTA CLARITA"</f>
        <v>SANTA CLARITA</v>
      </c>
      <c r="D281" s="1" t="str">
        <f t="shared" si="27"/>
        <v>CA</v>
      </c>
      <c r="E281" s="2">
        <v>1</v>
      </c>
      <c r="F281" s="2">
        <v>1</v>
      </c>
      <c r="G281" s="2">
        <v>1</v>
      </c>
      <c r="H281" s="2">
        <v>1</v>
      </c>
    </row>
    <row r="282" spans="1:8" x14ac:dyDescent="0.25">
      <c r="A282" s="1" t="str">
        <f>"90731"</f>
        <v>90731</v>
      </c>
      <c r="B282" s="1" t="str">
        <f t="shared" si="26"/>
        <v>31084</v>
      </c>
      <c r="C282" s="1" t="str">
        <f>"SAN PEDRO"</f>
        <v>SAN PEDRO</v>
      </c>
      <c r="D282" s="1" t="str">
        <f t="shared" si="27"/>
        <v>CA</v>
      </c>
      <c r="E282" s="2">
        <v>1</v>
      </c>
      <c r="F282" s="2">
        <v>1</v>
      </c>
      <c r="G282" s="2">
        <v>1</v>
      </c>
      <c r="H282" s="2">
        <v>1</v>
      </c>
    </row>
    <row r="283" spans="1:8" x14ac:dyDescent="0.25">
      <c r="A283" s="1" t="str">
        <f>"93590"</f>
        <v>93590</v>
      </c>
      <c r="B283" s="1" t="str">
        <f t="shared" si="26"/>
        <v>31084</v>
      </c>
      <c r="C283" s="1" t="str">
        <f>"PALMDALE"</f>
        <v>PALMDALE</v>
      </c>
      <c r="D283" s="1" t="str">
        <f t="shared" si="27"/>
        <v>CA</v>
      </c>
      <c r="E283" s="2">
        <v>1</v>
      </c>
      <c r="F283" s="2">
        <v>1</v>
      </c>
      <c r="G283" s="2">
        <v>1</v>
      </c>
      <c r="H283" s="2">
        <v>1</v>
      </c>
    </row>
    <row r="284" spans="1:8" x14ac:dyDescent="0.25">
      <c r="A284" s="1" t="str">
        <f>"91024"</f>
        <v>91024</v>
      </c>
      <c r="B284" s="1" t="str">
        <f t="shared" si="26"/>
        <v>31084</v>
      </c>
      <c r="C284" s="1" t="str">
        <f>"SIERRA MADRE"</f>
        <v>SIERRA MADRE</v>
      </c>
      <c r="D284" s="1" t="str">
        <f t="shared" si="27"/>
        <v>CA</v>
      </c>
      <c r="E284" s="2">
        <v>1</v>
      </c>
      <c r="F284" s="2">
        <v>1</v>
      </c>
      <c r="G284" s="2">
        <v>1</v>
      </c>
      <c r="H284" s="2">
        <v>1</v>
      </c>
    </row>
    <row r="285" spans="1:8" x14ac:dyDescent="0.25">
      <c r="A285" s="1" t="str">
        <f>"92708"</f>
        <v>92708</v>
      </c>
      <c r="B285" s="1" t="str">
        <f>"11244"</f>
        <v>11244</v>
      </c>
      <c r="C285" s="1" t="str">
        <f>"FOUNTAIN VALLEY"</f>
        <v>FOUNTAIN VALLEY</v>
      </c>
      <c r="D285" s="1" t="str">
        <f t="shared" si="27"/>
        <v>CA</v>
      </c>
      <c r="E285" s="2">
        <v>1</v>
      </c>
      <c r="F285" s="2">
        <v>1</v>
      </c>
      <c r="G285" s="2">
        <v>1</v>
      </c>
      <c r="H285" s="2">
        <v>1</v>
      </c>
    </row>
    <row r="286" spans="1:8" x14ac:dyDescent="0.25">
      <c r="A286" s="1" t="str">
        <f>"92804"</f>
        <v>92804</v>
      </c>
      <c r="B286" s="1" t="str">
        <f>"11244"</f>
        <v>11244</v>
      </c>
      <c r="C286" s="1" t="str">
        <f>"ANAHEIM"</f>
        <v>ANAHEIM</v>
      </c>
      <c r="D286" s="1" t="str">
        <f t="shared" si="27"/>
        <v>CA</v>
      </c>
      <c r="E286" s="2">
        <v>1</v>
      </c>
      <c r="F286" s="2">
        <v>1</v>
      </c>
      <c r="G286" s="2">
        <v>1</v>
      </c>
      <c r="H286" s="2">
        <v>1</v>
      </c>
    </row>
    <row r="287" spans="1:8" x14ac:dyDescent="0.25">
      <c r="A287" s="1" t="str">
        <f>"92809"</f>
        <v>92809</v>
      </c>
      <c r="B287" s="1" t="str">
        <f>"11244"</f>
        <v>11244</v>
      </c>
      <c r="C287" s="1" t="str">
        <f>"ANAHEIM"</f>
        <v>ANAHEIM</v>
      </c>
      <c r="D287" s="1" t="str">
        <f t="shared" si="27"/>
        <v>CA</v>
      </c>
      <c r="E287" s="2">
        <v>1</v>
      </c>
      <c r="F287" s="2">
        <v>1</v>
      </c>
      <c r="G287" s="2">
        <v>1</v>
      </c>
      <c r="H287" s="2">
        <v>1</v>
      </c>
    </row>
    <row r="288" spans="1:8" x14ac:dyDescent="0.25">
      <c r="A288" s="1" t="str">
        <f>"94065"</f>
        <v>94065</v>
      </c>
      <c r="B288" s="1" t="str">
        <f>"41884"</f>
        <v>41884</v>
      </c>
      <c r="C288" s="1" t="str">
        <f>"REDWOOD CITY"</f>
        <v>REDWOOD CITY</v>
      </c>
      <c r="D288" s="1" t="str">
        <f t="shared" si="27"/>
        <v>CA</v>
      </c>
      <c r="E288" s="2">
        <v>1</v>
      </c>
      <c r="F288" s="2">
        <v>1</v>
      </c>
      <c r="G288" s="2">
        <v>1</v>
      </c>
      <c r="H288" s="2">
        <v>1</v>
      </c>
    </row>
    <row r="289" spans="1:8" x14ac:dyDescent="0.25">
      <c r="A289" s="1" t="str">
        <f>"92624"</f>
        <v>92624</v>
      </c>
      <c r="B289" s="1" t="str">
        <f>"11244"</f>
        <v>11244</v>
      </c>
      <c r="C289" s="1" t="str">
        <f>"CAPISTRANO BEACH"</f>
        <v>CAPISTRANO BEACH</v>
      </c>
      <c r="D289" s="1" t="str">
        <f t="shared" si="27"/>
        <v>CA</v>
      </c>
      <c r="E289" s="2">
        <v>1</v>
      </c>
      <c r="F289" s="2">
        <v>1</v>
      </c>
      <c r="G289" s="2">
        <v>1</v>
      </c>
      <c r="H289" s="2">
        <v>1</v>
      </c>
    </row>
    <row r="290" spans="1:8" x14ac:dyDescent="0.25">
      <c r="A290" s="1" t="str">
        <f>"94108"</f>
        <v>94108</v>
      </c>
      <c r="B290" s="1" t="str">
        <f>"41884"</f>
        <v>41884</v>
      </c>
      <c r="C290" s="1" t="str">
        <f>"SAN FRANCISCO"</f>
        <v>SAN FRANCISCO</v>
      </c>
      <c r="D290" s="1" t="str">
        <f t="shared" si="27"/>
        <v>CA</v>
      </c>
      <c r="E290" s="2">
        <v>1</v>
      </c>
      <c r="F290" s="2">
        <v>1</v>
      </c>
      <c r="G290" s="2">
        <v>1</v>
      </c>
      <c r="H290" s="2">
        <v>1</v>
      </c>
    </row>
    <row r="291" spans="1:8" x14ac:dyDescent="0.25">
      <c r="A291" s="1" t="str">
        <f>"94520"</f>
        <v>94520</v>
      </c>
      <c r="B291" s="1" t="str">
        <f>"36084"</f>
        <v>36084</v>
      </c>
      <c r="C291" s="1" t="str">
        <f>"CONCORD"</f>
        <v>CONCORD</v>
      </c>
      <c r="D291" s="1" t="str">
        <f t="shared" si="27"/>
        <v>CA</v>
      </c>
      <c r="E291" s="2">
        <v>1</v>
      </c>
      <c r="F291" s="2">
        <v>1</v>
      </c>
      <c r="G291" s="2">
        <v>1</v>
      </c>
      <c r="H291" s="2">
        <v>1</v>
      </c>
    </row>
    <row r="292" spans="1:8" x14ac:dyDescent="0.25">
      <c r="A292" s="1" t="str">
        <f>"98027"</f>
        <v>98027</v>
      </c>
      <c r="B292" s="1" t="str">
        <f>"42644"</f>
        <v>42644</v>
      </c>
      <c r="C292" s="1" t="str">
        <f>"ISSAQUAH"</f>
        <v>ISSAQUAH</v>
      </c>
      <c r="D292" s="1" t="str">
        <f t="shared" ref="D292:D300" si="28">"WA"</f>
        <v>WA</v>
      </c>
      <c r="E292" s="2">
        <v>1</v>
      </c>
      <c r="F292" s="2">
        <v>1</v>
      </c>
      <c r="G292" s="2">
        <v>1</v>
      </c>
      <c r="H292" s="2">
        <v>1</v>
      </c>
    </row>
    <row r="293" spans="1:8" x14ac:dyDescent="0.25">
      <c r="A293" s="1" t="str">
        <f>"98408"</f>
        <v>98408</v>
      </c>
      <c r="B293" s="1" t="str">
        <f>"45104"</f>
        <v>45104</v>
      </c>
      <c r="C293" s="1" t="str">
        <f>"TACOMA"</f>
        <v>TACOMA</v>
      </c>
      <c r="D293" s="1" t="str">
        <f t="shared" si="28"/>
        <v>WA</v>
      </c>
      <c r="E293" s="2">
        <v>1</v>
      </c>
      <c r="F293" s="2">
        <v>1</v>
      </c>
      <c r="G293" s="2">
        <v>1</v>
      </c>
      <c r="H293" s="2">
        <v>1</v>
      </c>
    </row>
    <row r="294" spans="1:8" x14ac:dyDescent="0.25">
      <c r="A294" s="1" t="str">
        <f>"98354"</f>
        <v>98354</v>
      </c>
      <c r="B294" s="1" t="str">
        <f>"42644"</f>
        <v>42644</v>
      </c>
      <c r="C294" s="1" t="str">
        <f>"MILTON"</f>
        <v>MILTON</v>
      </c>
      <c r="D294" s="1" t="str">
        <f t="shared" si="28"/>
        <v>WA</v>
      </c>
      <c r="E294" s="2">
        <v>9.5167286245353103E-2</v>
      </c>
      <c r="F294" s="2">
        <v>1.8248175182481699E-3</v>
      </c>
      <c r="G294" s="2">
        <v>1.2285012285012199E-2</v>
      </c>
      <c r="H294" s="2">
        <v>8.1767955801104894E-2</v>
      </c>
    </row>
    <row r="295" spans="1:8" x14ac:dyDescent="0.25">
      <c r="A295" s="1" t="str">
        <f>"98354"</f>
        <v>98354</v>
      </c>
      <c r="B295" s="1" t="str">
        <f>"45104"</f>
        <v>45104</v>
      </c>
      <c r="C295" s="1" t="str">
        <f>"MILTON"</f>
        <v>MILTON</v>
      </c>
      <c r="D295" s="1" t="str">
        <f t="shared" si="28"/>
        <v>WA</v>
      </c>
      <c r="E295" s="2">
        <v>0.90483271375464602</v>
      </c>
      <c r="F295" s="2">
        <v>0.99817518248175097</v>
      </c>
      <c r="G295" s="2">
        <v>0.987714987714987</v>
      </c>
      <c r="H295" s="2">
        <v>0.91823204419889504</v>
      </c>
    </row>
    <row r="296" spans="1:8" x14ac:dyDescent="0.25">
      <c r="A296" s="1" t="str">
        <f>"98109"</f>
        <v>98109</v>
      </c>
      <c r="B296" s="1" t="str">
        <f>"42644"</f>
        <v>42644</v>
      </c>
      <c r="C296" s="1" t="str">
        <f>"SEATTLE"</f>
        <v>SEATTLE</v>
      </c>
      <c r="D296" s="1" t="str">
        <f t="shared" si="28"/>
        <v>WA</v>
      </c>
      <c r="E296" s="2">
        <v>1</v>
      </c>
      <c r="F296" s="2">
        <v>1</v>
      </c>
      <c r="G296" s="2">
        <v>1</v>
      </c>
      <c r="H296" s="2">
        <v>1</v>
      </c>
    </row>
    <row r="297" spans="1:8" x14ac:dyDescent="0.25">
      <c r="A297" s="1" t="str">
        <f>"98115"</f>
        <v>98115</v>
      </c>
      <c r="B297" s="1" t="str">
        <f>"42644"</f>
        <v>42644</v>
      </c>
      <c r="C297" s="1" t="str">
        <f>"SEATTLE"</f>
        <v>SEATTLE</v>
      </c>
      <c r="D297" s="1" t="str">
        <f t="shared" si="28"/>
        <v>WA</v>
      </c>
      <c r="E297" s="2">
        <v>1</v>
      </c>
      <c r="F297" s="2">
        <v>1</v>
      </c>
      <c r="G297" s="2">
        <v>1</v>
      </c>
      <c r="H297" s="2">
        <v>1</v>
      </c>
    </row>
    <row r="298" spans="1:8" x14ac:dyDescent="0.25">
      <c r="A298" s="1" t="str">
        <f>"98119"</f>
        <v>98119</v>
      </c>
      <c r="B298" s="1" t="str">
        <f>"42644"</f>
        <v>42644</v>
      </c>
      <c r="C298" s="1" t="str">
        <f>"SEATTLE"</f>
        <v>SEATTLE</v>
      </c>
      <c r="D298" s="1" t="str">
        <f t="shared" si="28"/>
        <v>WA</v>
      </c>
      <c r="E298" s="2">
        <v>1</v>
      </c>
      <c r="F298" s="2">
        <v>1</v>
      </c>
      <c r="G298" s="2">
        <v>1</v>
      </c>
      <c r="H298" s="2">
        <v>1</v>
      </c>
    </row>
    <row r="299" spans="1:8" x14ac:dyDescent="0.25">
      <c r="A299" s="1" t="str">
        <f>"98422"</f>
        <v>98422</v>
      </c>
      <c r="B299" s="1" t="str">
        <f>"45104"</f>
        <v>45104</v>
      </c>
      <c r="C299" s="1" t="str">
        <f>"TACOMA"</f>
        <v>TACOMA</v>
      </c>
      <c r="D299" s="1" t="str">
        <f t="shared" si="28"/>
        <v>WA</v>
      </c>
      <c r="E299" s="2">
        <v>0.99487668295007703</v>
      </c>
      <c r="F299" s="2">
        <v>0.97777777777777697</v>
      </c>
      <c r="G299" s="2">
        <v>0.986928104575163</v>
      </c>
      <c r="H299" s="2">
        <v>0.99438459775383903</v>
      </c>
    </row>
    <row r="300" spans="1:8" x14ac:dyDescent="0.25">
      <c r="A300" s="1" t="str">
        <f>"98422"</f>
        <v>98422</v>
      </c>
      <c r="B300" s="1" t="str">
        <f>"42644"</f>
        <v>42644</v>
      </c>
      <c r="C300" s="1" t="str">
        <f>"TACOMA"</f>
        <v>TACOMA</v>
      </c>
      <c r="D300" s="1" t="str">
        <f t="shared" si="28"/>
        <v>WA</v>
      </c>
      <c r="E300" s="2">
        <v>5.1233170499225501E-3</v>
      </c>
      <c r="F300" s="2">
        <v>2.2222222222222199E-2</v>
      </c>
      <c r="G300" s="2">
        <v>1.30718954248366E-2</v>
      </c>
      <c r="H300" s="2">
        <v>5.6154022461608897E-3</v>
      </c>
    </row>
    <row r="301" spans="1:8" x14ac:dyDescent="0.25">
      <c r="A301" s="1" t="str">
        <f>"02047"</f>
        <v>02047</v>
      </c>
      <c r="B301" s="1" t="str">
        <f>"14454"</f>
        <v>14454</v>
      </c>
      <c r="C301" s="1" t="str">
        <f>"HUMAROCK"</f>
        <v>HUMAROCK</v>
      </c>
      <c r="D301" s="1" t="str">
        <f>"MA"</f>
        <v>MA</v>
      </c>
      <c r="E301" s="2">
        <v>1</v>
      </c>
      <c r="F301" s="2">
        <v>1</v>
      </c>
      <c r="G301" s="2">
        <v>1</v>
      </c>
      <c r="H301" s="2">
        <v>1</v>
      </c>
    </row>
    <row r="302" spans="1:8" x14ac:dyDescent="0.25">
      <c r="A302" s="1" t="str">
        <f>"02304"</f>
        <v>02304</v>
      </c>
      <c r="B302" s="1" t="str">
        <f>"14454"</f>
        <v>14454</v>
      </c>
      <c r="C302" s="1" t="str">
        <f>"BROCKTON"</f>
        <v>BROCKTON</v>
      </c>
      <c r="D302" s="1" t="str">
        <f>"MA"</f>
        <v>MA</v>
      </c>
      <c r="E302" s="2">
        <v>1</v>
      </c>
      <c r="F302" s="2">
        <v>1</v>
      </c>
      <c r="G302" s="2">
        <v>1</v>
      </c>
      <c r="H302" s="2">
        <v>1</v>
      </c>
    </row>
    <row r="303" spans="1:8" x14ac:dyDescent="0.25">
      <c r="A303" s="1" t="str">
        <f>"06390"</f>
        <v>06390</v>
      </c>
      <c r="B303" s="1" t="str">
        <f>"35004"</f>
        <v>35004</v>
      </c>
      <c r="C303" s="1" t="str">
        <f>"FISHERS ISLAND"</f>
        <v>FISHERS ISLAND</v>
      </c>
      <c r="D303" s="1" t="str">
        <f>"NY"</f>
        <v>NY</v>
      </c>
      <c r="E303" s="2">
        <v>0</v>
      </c>
      <c r="F303" s="2">
        <v>1</v>
      </c>
      <c r="G303" s="2">
        <v>1</v>
      </c>
      <c r="H303" s="2">
        <v>1</v>
      </c>
    </row>
    <row r="304" spans="1:8" x14ac:dyDescent="0.25">
      <c r="A304" s="1" t="str">
        <f>"08059"</f>
        <v>08059</v>
      </c>
      <c r="B304" s="1" t="str">
        <f>"15804"</f>
        <v>15804</v>
      </c>
      <c r="C304" s="1" t="str">
        <f>"MOUNT EPHRAIM"</f>
        <v>MOUNT EPHRAIM</v>
      </c>
      <c r="D304" s="1" t="str">
        <f>"NJ"</f>
        <v>NJ</v>
      </c>
      <c r="E304" s="2">
        <v>1</v>
      </c>
      <c r="F304" s="2">
        <v>1</v>
      </c>
      <c r="G304" s="2">
        <v>1</v>
      </c>
      <c r="H304" s="2">
        <v>1</v>
      </c>
    </row>
    <row r="305" spans="1:8" x14ac:dyDescent="0.25">
      <c r="A305" s="1" t="str">
        <f>"08641"</f>
        <v>08641</v>
      </c>
      <c r="B305" s="1" t="str">
        <f>"15804"</f>
        <v>15804</v>
      </c>
      <c r="C305" s="1" t="str">
        <f>"JOINT BASE MDL"</f>
        <v>JOINT BASE MDL</v>
      </c>
      <c r="D305" s="1" t="str">
        <f>"NJ"</f>
        <v>NJ</v>
      </c>
      <c r="E305" s="2">
        <v>1</v>
      </c>
      <c r="F305" s="2">
        <v>1</v>
      </c>
      <c r="G305" s="2">
        <v>1</v>
      </c>
      <c r="H305" s="2">
        <v>1</v>
      </c>
    </row>
    <row r="306" spans="1:8" x14ac:dyDescent="0.25">
      <c r="A306" s="1" t="str">
        <f>"18936"</f>
        <v>18936</v>
      </c>
      <c r="B306" s="1" t="str">
        <f>"33874"</f>
        <v>33874</v>
      </c>
      <c r="C306" s="1" t="str">
        <f>"MONTGOMERYVILLE"</f>
        <v>MONTGOMERYVILLE</v>
      </c>
      <c r="D306" s="1" t="str">
        <f>"PA"</f>
        <v>PA</v>
      </c>
      <c r="E306" s="2">
        <v>1</v>
      </c>
      <c r="F306" s="2">
        <v>1</v>
      </c>
      <c r="G306" s="2">
        <v>1</v>
      </c>
      <c r="H306" s="2">
        <v>1</v>
      </c>
    </row>
    <row r="307" spans="1:8" x14ac:dyDescent="0.25">
      <c r="A307" s="1" t="str">
        <f>"19317"</f>
        <v>19317</v>
      </c>
      <c r="B307" s="1" t="str">
        <f>"33874"</f>
        <v>33874</v>
      </c>
      <c r="C307" s="1" t="str">
        <f>"CHADDS FORD"</f>
        <v>CHADDS FORD</v>
      </c>
      <c r="D307" s="1" t="str">
        <f>"PA"</f>
        <v>PA</v>
      </c>
      <c r="E307" s="2">
        <v>0.35726593911545002</v>
      </c>
      <c r="F307" s="2">
        <v>0.184516129032258</v>
      </c>
      <c r="G307" s="2">
        <v>0.25850340136054401</v>
      </c>
      <c r="H307" s="2">
        <v>0.33311635475996698</v>
      </c>
    </row>
    <row r="308" spans="1:8" x14ac:dyDescent="0.25">
      <c r="A308" s="1" t="str">
        <f>"19317"</f>
        <v>19317</v>
      </c>
      <c r="B308" s="1" t="str">
        <f>"37964"</f>
        <v>37964</v>
      </c>
      <c r="C308" s="1" t="str">
        <f>"CHADDS FORD"</f>
        <v>CHADDS FORD</v>
      </c>
      <c r="D308" s="1" t="str">
        <f>"PA"</f>
        <v>PA</v>
      </c>
      <c r="E308" s="2">
        <v>0.64273406088454899</v>
      </c>
      <c r="F308" s="2">
        <v>0.815483870967741</v>
      </c>
      <c r="G308" s="2">
        <v>0.74149659863945505</v>
      </c>
      <c r="H308" s="2">
        <v>0.66688364524003196</v>
      </c>
    </row>
    <row r="309" spans="1:8" x14ac:dyDescent="0.25">
      <c r="A309" s="1" t="str">
        <f>"20675"</f>
        <v>20675</v>
      </c>
      <c r="B309" s="1" t="str">
        <f>"47894"</f>
        <v>47894</v>
      </c>
      <c r="C309" s="1" t="str">
        <f>"POMFRET"</f>
        <v>POMFRET</v>
      </c>
      <c r="D309" s="1" t="str">
        <f>"MD"</f>
        <v>MD</v>
      </c>
      <c r="E309" s="2">
        <v>1</v>
      </c>
      <c r="F309" s="2">
        <v>1</v>
      </c>
      <c r="G309" s="2">
        <v>1</v>
      </c>
      <c r="H309" s="2">
        <v>1</v>
      </c>
    </row>
    <row r="310" spans="1:8" x14ac:dyDescent="0.25">
      <c r="A310" s="1" t="str">
        <f>"21788"</f>
        <v>21788</v>
      </c>
      <c r="B310" s="1" t="str">
        <f>"23224"</f>
        <v>23224</v>
      </c>
      <c r="C310" s="1" t="str">
        <f>"THURMONT"</f>
        <v>THURMONT</v>
      </c>
      <c r="D310" s="1" t="str">
        <f>"MD"</f>
        <v>MD</v>
      </c>
      <c r="E310" s="2">
        <v>1</v>
      </c>
      <c r="F310" s="2">
        <v>1</v>
      </c>
      <c r="G310" s="2">
        <v>1</v>
      </c>
      <c r="H310" s="2">
        <v>1</v>
      </c>
    </row>
    <row r="311" spans="1:8" x14ac:dyDescent="0.25">
      <c r="A311" s="1" t="str">
        <f>"21790"</f>
        <v>21790</v>
      </c>
      <c r="B311" s="1" t="str">
        <f>"23224"</f>
        <v>23224</v>
      </c>
      <c r="C311" s="1" t="str">
        <f>"TUSCARORA"</f>
        <v>TUSCARORA</v>
      </c>
      <c r="D311" s="1" t="str">
        <f>"MD"</f>
        <v>MD</v>
      </c>
      <c r="E311" s="2">
        <v>1</v>
      </c>
      <c r="F311" s="2">
        <v>1</v>
      </c>
      <c r="G311" s="2">
        <v>0</v>
      </c>
      <c r="H311" s="2">
        <v>1</v>
      </c>
    </row>
    <row r="312" spans="1:8" x14ac:dyDescent="0.25">
      <c r="A312" s="1" t="str">
        <f>"48303"</f>
        <v>48303</v>
      </c>
      <c r="B312" s="1" t="str">
        <f>"47664"</f>
        <v>47664</v>
      </c>
      <c r="C312" s="1" t="str">
        <f>"BLOOMFIELD HILLS"</f>
        <v>BLOOMFIELD HILLS</v>
      </c>
      <c r="D312" s="1" t="str">
        <f>"MI"</f>
        <v>MI</v>
      </c>
      <c r="E312" s="2">
        <v>1</v>
      </c>
      <c r="F312" s="2">
        <v>1</v>
      </c>
      <c r="G312" s="2">
        <v>1</v>
      </c>
      <c r="H312" s="2">
        <v>1</v>
      </c>
    </row>
    <row r="313" spans="1:8" x14ac:dyDescent="0.25">
      <c r="A313" s="1" t="str">
        <f>"91510"</f>
        <v>91510</v>
      </c>
      <c r="B313" s="1" t="str">
        <f>"31084"</f>
        <v>31084</v>
      </c>
      <c r="C313" s="1" t="str">
        <f>"BURBANK"</f>
        <v>BURBANK</v>
      </c>
      <c r="D313" s="1" t="str">
        <f>"CA"</f>
        <v>CA</v>
      </c>
      <c r="E313" s="2">
        <v>1</v>
      </c>
      <c r="F313" s="2">
        <v>1</v>
      </c>
      <c r="G313" s="2">
        <v>1</v>
      </c>
      <c r="H313" s="2">
        <v>1</v>
      </c>
    </row>
    <row r="314" spans="1:8" x14ac:dyDescent="0.25">
      <c r="A314" s="1" t="str">
        <f>"94528"</f>
        <v>94528</v>
      </c>
      <c r="B314" s="1" t="str">
        <f>"36084"</f>
        <v>36084</v>
      </c>
      <c r="C314" s="1" t="str">
        <f>"DIABLO"</f>
        <v>DIABLO</v>
      </c>
      <c r="D314" s="1" t="str">
        <f>"CA"</f>
        <v>CA</v>
      </c>
      <c r="E314" s="2">
        <v>1</v>
      </c>
      <c r="F314" s="2">
        <v>1</v>
      </c>
      <c r="G314" s="2">
        <v>1</v>
      </c>
      <c r="H314" s="2">
        <v>1</v>
      </c>
    </row>
    <row r="315" spans="1:8" x14ac:dyDescent="0.25">
      <c r="A315" s="1" t="str">
        <f>"94924"</f>
        <v>94924</v>
      </c>
      <c r="B315" s="1" t="str">
        <f>"42034"</f>
        <v>42034</v>
      </c>
      <c r="C315" s="1" t="str">
        <f>"BOLINAS"</f>
        <v>BOLINAS</v>
      </c>
      <c r="D315" s="1" t="str">
        <f>"CA"</f>
        <v>CA</v>
      </c>
      <c r="E315" s="2">
        <v>1</v>
      </c>
      <c r="F315" s="2">
        <v>1</v>
      </c>
      <c r="G315" s="2">
        <v>1</v>
      </c>
      <c r="H315" s="2">
        <v>1</v>
      </c>
    </row>
    <row r="316" spans="1:8" x14ac:dyDescent="0.25">
      <c r="A316" s="1" t="str">
        <f>"98073"</f>
        <v>98073</v>
      </c>
      <c r="B316" s="1" t="str">
        <f>"42644"</f>
        <v>42644</v>
      </c>
      <c r="C316" s="1" t="str">
        <f>"REDMOND"</f>
        <v>REDMOND</v>
      </c>
      <c r="D316" s="1" t="str">
        <f>"WA"</f>
        <v>WA</v>
      </c>
      <c r="E316" s="2">
        <v>1</v>
      </c>
      <c r="F316" s="2">
        <v>1</v>
      </c>
      <c r="G316" s="2">
        <v>1</v>
      </c>
      <c r="H316" s="2">
        <v>1</v>
      </c>
    </row>
    <row r="317" spans="1:8" x14ac:dyDescent="0.25">
      <c r="A317" s="1" t="str">
        <f>"48308"</f>
        <v>48308</v>
      </c>
      <c r="B317" s="1" t="str">
        <f>"47664"</f>
        <v>47664</v>
      </c>
      <c r="C317" s="1" t="str">
        <f>"ROCHESTER"</f>
        <v>ROCHESTER</v>
      </c>
      <c r="D317" s="1" t="str">
        <f>"MI"</f>
        <v>MI</v>
      </c>
      <c r="E317" s="2">
        <v>1</v>
      </c>
      <c r="F317" s="2">
        <v>1</v>
      </c>
      <c r="G317" s="2">
        <v>1</v>
      </c>
      <c r="H317" s="2">
        <v>1</v>
      </c>
    </row>
    <row r="318" spans="1:8" x14ac:dyDescent="0.25">
      <c r="A318" s="1" t="str">
        <f>"90607"</f>
        <v>90607</v>
      </c>
      <c r="B318" s="1" t="str">
        <f>"31084"</f>
        <v>31084</v>
      </c>
      <c r="C318" s="1" t="str">
        <f>"WHITTIER"</f>
        <v>WHITTIER</v>
      </c>
      <c r="D318" s="1" t="str">
        <f>"CA"</f>
        <v>CA</v>
      </c>
      <c r="E318" s="2">
        <v>1</v>
      </c>
      <c r="F318" s="2">
        <v>1</v>
      </c>
      <c r="G318" s="2">
        <v>1</v>
      </c>
      <c r="H318" s="2">
        <v>1</v>
      </c>
    </row>
    <row r="319" spans="1:8" x14ac:dyDescent="0.25">
      <c r="A319" s="1" t="str">
        <f>"08754"</f>
        <v>08754</v>
      </c>
      <c r="B319" s="1" t="str">
        <f>"35154"</f>
        <v>35154</v>
      </c>
      <c r="C319" s="1" t="str">
        <f>"TOMS RIVER"</f>
        <v>TOMS RIVER</v>
      </c>
      <c r="D319" s="1" t="str">
        <f>"NJ"</f>
        <v>NJ</v>
      </c>
      <c r="E319" s="2">
        <v>1</v>
      </c>
      <c r="F319" s="2">
        <v>1</v>
      </c>
      <c r="G319" s="2">
        <v>1</v>
      </c>
      <c r="H319" s="2">
        <v>1</v>
      </c>
    </row>
    <row r="320" spans="1:8" x14ac:dyDescent="0.25">
      <c r="A320" s="1" t="str">
        <f>"18055"</f>
        <v>18055</v>
      </c>
      <c r="B320" s="1" t="str">
        <f>"33874"</f>
        <v>33874</v>
      </c>
      <c r="C320" s="1" t="str">
        <f>"HELLERTOWN"</f>
        <v>HELLERTOWN</v>
      </c>
      <c r="D320" s="1" t="str">
        <f>"PA"</f>
        <v>PA</v>
      </c>
      <c r="E320" s="2">
        <v>1</v>
      </c>
      <c r="F320" s="2">
        <v>1</v>
      </c>
      <c r="G320" s="2">
        <v>1</v>
      </c>
      <c r="H320" s="2">
        <v>1</v>
      </c>
    </row>
    <row r="321" spans="1:8" x14ac:dyDescent="0.25">
      <c r="A321" s="1" t="str">
        <f>"20536"</f>
        <v>20536</v>
      </c>
      <c r="B321" s="1" t="str">
        <f>"47894"</f>
        <v>47894</v>
      </c>
      <c r="C321" s="1" t="str">
        <f>"WASHINGTON"</f>
        <v>WASHINGTON</v>
      </c>
      <c r="D321" s="1" t="str">
        <f>"DC"</f>
        <v>DC</v>
      </c>
      <c r="E321" s="2">
        <v>0</v>
      </c>
      <c r="F321" s="2">
        <v>1</v>
      </c>
      <c r="G321" s="2">
        <v>1</v>
      </c>
      <c r="H321" s="2">
        <v>1</v>
      </c>
    </row>
    <row r="322" spans="1:8" x14ac:dyDescent="0.25">
      <c r="A322" s="1" t="str">
        <f>"10279"</f>
        <v>10279</v>
      </c>
      <c r="B322" s="1" t="str">
        <f>"35614"</f>
        <v>35614</v>
      </c>
      <c r="C322" s="1" t="str">
        <f>"NEW YORK"</f>
        <v>NEW YORK</v>
      </c>
      <c r="D322" s="1" t="str">
        <f>"NY"</f>
        <v>NY</v>
      </c>
      <c r="E322" s="2">
        <v>0</v>
      </c>
      <c r="F322" s="2">
        <v>1</v>
      </c>
      <c r="G322" s="2">
        <v>1</v>
      </c>
      <c r="H322" s="2">
        <v>1</v>
      </c>
    </row>
    <row r="323" spans="1:8" x14ac:dyDescent="0.25">
      <c r="A323" s="1" t="str">
        <f>"91614"</f>
        <v>91614</v>
      </c>
      <c r="B323" s="1" t="str">
        <f>"31084"</f>
        <v>31084</v>
      </c>
      <c r="C323" s="1" t="str">
        <f>"STUDIO CITY"</f>
        <v>STUDIO CITY</v>
      </c>
      <c r="D323" s="1" t="str">
        <f>"CA"</f>
        <v>CA</v>
      </c>
      <c r="E323" s="2">
        <v>1</v>
      </c>
      <c r="F323" s="2">
        <v>1</v>
      </c>
      <c r="G323" s="2">
        <v>1</v>
      </c>
      <c r="H323" s="2">
        <v>1</v>
      </c>
    </row>
    <row r="324" spans="1:8" x14ac:dyDescent="0.25">
      <c r="A324" s="1" t="str">
        <f>"91408"</f>
        <v>91408</v>
      </c>
      <c r="B324" s="1" t="str">
        <f>"31084"</f>
        <v>31084</v>
      </c>
      <c r="C324" s="1" t="str">
        <f>"VAN NUYS"</f>
        <v>VAN NUYS</v>
      </c>
      <c r="D324" s="1" t="str">
        <f>"CA"</f>
        <v>CA</v>
      </c>
      <c r="E324" s="2">
        <v>1</v>
      </c>
      <c r="F324" s="2">
        <v>1</v>
      </c>
      <c r="G324" s="2">
        <v>1</v>
      </c>
      <c r="H324" s="2">
        <v>1</v>
      </c>
    </row>
    <row r="325" spans="1:8" x14ac:dyDescent="0.25">
      <c r="A325" s="1" t="str">
        <f>"10173"</f>
        <v>10173</v>
      </c>
      <c r="B325" s="1" t="str">
        <f>"35614"</f>
        <v>35614</v>
      </c>
      <c r="C325" s="1" t="str">
        <f>"NEW YORK"</f>
        <v>NEW YORK</v>
      </c>
      <c r="D325" s="1" t="str">
        <f>"NY"</f>
        <v>NY</v>
      </c>
      <c r="E325" s="2">
        <v>0</v>
      </c>
      <c r="F325" s="2">
        <v>1</v>
      </c>
      <c r="G325" s="2">
        <v>1</v>
      </c>
      <c r="H325" s="2">
        <v>1</v>
      </c>
    </row>
    <row r="326" spans="1:8" x14ac:dyDescent="0.25">
      <c r="A326" s="1" t="str">
        <f>"60029"</f>
        <v>60029</v>
      </c>
      <c r="B326" s="1" t="str">
        <f>"16984"</f>
        <v>16984</v>
      </c>
      <c r="C326" s="1" t="str">
        <f>"GOLF"</f>
        <v>GOLF</v>
      </c>
      <c r="D326" s="1" t="str">
        <f>"IL"</f>
        <v>IL</v>
      </c>
      <c r="E326" s="2">
        <v>1</v>
      </c>
      <c r="F326" s="2">
        <v>0</v>
      </c>
      <c r="G326" s="2">
        <v>1</v>
      </c>
      <c r="H326" s="2">
        <v>1</v>
      </c>
    </row>
    <row r="327" spans="1:8" x14ac:dyDescent="0.25">
      <c r="A327" s="1" t="str">
        <f>"91508"</f>
        <v>91508</v>
      </c>
      <c r="B327" s="1" t="str">
        <f>"31084"</f>
        <v>31084</v>
      </c>
      <c r="C327" s="1" t="str">
        <f>"BURBANK"</f>
        <v>BURBANK</v>
      </c>
      <c r="D327" s="1" t="str">
        <f>"CA"</f>
        <v>CA</v>
      </c>
      <c r="E327" s="2">
        <v>1</v>
      </c>
      <c r="F327" s="2">
        <v>1</v>
      </c>
      <c r="G327" s="2">
        <v>1</v>
      </c>
      <c r="H327" s="2">
        <v>1</v>
      </c>
    </row>
    <row r="328" spans="1:8" x14ac:dyDescent="0.25">
      <c r="A328" s="1" t="str">
        <f>"08520"</f>
        <v>08520</v>
      </c>
      <c r="B328" s="1" t="str">
        <f>"35154"</f>
        <v>35154</v>
      </c>
      <c r="C328" s="1" t="str">
        <f>"HIGHTSTOWN"</f>
        <v>HIGHTSTOWN</v>
      </c>
      <c r="D328" s="1" t="str">
        <f>"NJ"</f>
        <v>NJ</v>
      </c>
      <c r="E328" s="2">
        <v>1</v>
      </c>
      <c r="F328" s="2">
        <v>1</v>
      </c>
      <c r="G328" s="2">
        <v>0</v>
      </c>
      <c r="H328" s="2">
        <v>1</v>
      </c>
    </row>
    <row r="329" spans="1:8" x14ac:dyDescent="0.25">
      <c r="A329" s="1" t="str">
        <f>"46301"</f>
        <v>46301</v>
      </c>
      <c r="B329" s="1" t="str">
        <f>"23844"</f>
        <v>23844</v>
      </c>
      <c r="C329" s="1" t="str">
        <f>"BEVERLY SHORES"</f>
        <v>BEVERLY SHORES</v>
      </c>
      <c r="D329" s="1" t="str">
        <f>"IN"</f>
        <v>IN</v>
      </c>
      <c r="E329" s="2">
        <v>1</v>
      </c>
      <c r="F329" s="2">
        <v>0</v>
      </c>
      <c r="G329" s="2">
        <v>1</v>
      </c>
      <c r="H329" s="2">
        <v>1</v>
      </c>
    </row>
    <row r="330" spans="1:8" x14ac:dyDescent="0.25">
      <c r="A330" s="1" t="str">
        <f>"20515"</f>
        <v>20515</v>
      </c>
      <c r="B330" s="1" t="str">
        <f>"47894"</f>
        <v>47894</v>
      </c>
      <c r="C330" s="1" t="str">
        <f>"WASHINGTON"</f>
        <v>WASHINGTON</v>
      </c>
      <c r="D330" s="1" t="str">
        <f>"DC"</f>
        <v>DC</v>
      </c>
      <c r="E330" s="2">
        <v>0</v>
      </c>
      <c r="F330" s="2">
        <v>1</v>
      </c>
      <c r="G330" s="2">
        <v>1</v>
      </c>
      <c r="H330" s="2">
        <v>1</v>
      </c>
    </row>
    <row r="331" spans="1:8" x14ac:dyDescent="0.25">
      <c r="A331" s="1" t="str">
        <f>"11245"</f>
        <v>11245</v>
      </c>
      <c r="B331" s="1" t="str">
        <f>"35614"</f>
        <v>35614</v>
      </c>
      <c r="C331" s="1" t="str">
        <f>"BROOKLYN"</f>
        <v>BROOKLYN</v>
      </c>
      <c r="D331" s="1" t="str">
        <f>"NY"</f>
        <v>NY</v>
      </c>
      <c r="E331" s="2">
        <v>0</v>
      </c>
      <c r="F331" s="2">
        <v>1</v>
      </c>
      <c r="G331" s="2">
        <v>0</v>
      </c>
      <c r="H331" s="2">
        <v>1</v>
      </c>
    </row>
    <row r="332" spans="1:8" x14ac:dyDescent="0.25">
      <c r="A332" s="1" t="str">
        <f>"20216"</f>
        <v>20216</v>
      </c>
      <c r="B332" s="1" t="str">
        <f>"47894"</f>
        <v>47894</v>
      </c>
      <c r="C332" s="1" t="str">
        <f>"WASHINGTON"</f>
        <v>WASHINGTON</v>
      </c>
      <c r="D332" s="1" t="str">
        <f>"DC"</f>
        <v>DC</v>
      </c>
      <c r="E332" s="2">
        <v>0</v>
      </c>
      <c r="F332" s="2">
        <v>1</v>
      </c>
      <c r="G332" s="2">
        <v>0</v>
      </c>
      <c r="H332" s="2">
        <v>1</v>
      </c>
    </row>
    <row r="333" spans="1:8" x14ac:dyDescent="0.25">
      <c r="A333" s="1" t="str">
        <f>"90822"</f>
        <v>90822</v>
      </c>
      <c r="B333" s="1" t="str">
        <f>"31084"</f>
        <v>31084</v>
      </c>
      <c r="C333" s="1" t="str">
        <f>"LONG BEACH"</f>
        <v>LONG BEACH</v>
      </c>
      <c r="D333" s="1" t="str">
        <f>"CA"</f>
        <v>CA</v>
      </c>
      <c r="E333" s="2">
        <v>0</v>
      </c>
      <c r="F333" s="2">
        <v>1</v>
      </c>
      <c r="G333" s="2">
        <v>1</v>
      </c>
      <c r="H333" s="2">
        <v>1</v>
      </c>
    </row>
    <row r="334" spans="1:8" x14ac:dyDescent="0.25">
      <c r="A334" s="1" t="str">
        <f>"19316"</f>
        <v>19316</v>
      </c>
      <c r="B334" s="1" t="str">
        <f>"33874"</f>
        <v>33874</v>
      </c>
      <c r="C334" s="1" t="str">
        <f>"BRANDAMORE"</f>
        <v>BRANDAMORE</v>
      </c>
      <c r="D334" s="1" t="str">
        <f>"PA"</f>
        <v>PA</v>
      </c>
      <c r="E334" s="2">
        <v>0</v>
      </c>
      <c r="F334" s="2">
        <v>0</v>
      </c>
      <c r="G334" s="2">
        <v>1</v>
      </c>
      <c r="H334" s="2">
        <v>1</v>
      </c>
    </row>
    <row r="335" spans="1:8" x14ac:dyDescent="0.25">
      <c r="A335" s="1" t="str">
        <f>"48366"</f>
        <v>48366</v>
      </c>
      <c r="B335" s="1" t="str">
        <f>"47664"</f>
        <v>47664</v>
      </c>
      <c r="C335" s="1" t="str">
        <f>"LAKEVILLE"</f>
        <v>LAKEVILLE</v>
      </c>
      <c r="D335" s="1" t="str">
        <f>"MI"</f>
        <v>MI</v>
      </c>
      <c r="E335" s="2">
        <v>0</v>
      </c>
      <c r="F335" s="2">
        <v>0</v>
      </c>
      <c r="G335" s="2">
        <v>1</v>
      </c>
      <c r="H335" s="2">
        <v>1</v>
      </c>
    </row>
    <row r="336" spans="1:8" x14ac:dyDescent="0.25">
      <c r="A336" s="1" t="str">
        <f>"20057"</f>
        <v>20057</v>
      </c>
      <c r="B336" s="1" t="str">
        <f>"47894"</f>
        <v>47894</v>
      </c>
      <c r="C336" s="1" t="str">
        <f>"WASHINGTON"</f>
        <v>WASHINGTON</v>
      </c>
      <c r="D336" s="1" t="str">
        <f>"DC"</f>
        <v>DC</v>
      </c>
      <c r="E336" s="2">
        <v>0</v>
      </c>
      <c r="F336" s="2">
        <v>1</v>
      </c>
      <c r="G336" s="2">
        <v>0</v>
      </c>
      <c r="H336" s="2">
        <v>1</v>
      </c>
    </row>
    <row r="337" spans="1:8" x14ac:dyDescent="0.25">
      <c r="A337" s="1" t="str">
        <f>"08064"</f>
        <v>08064</v>
      </c>
      <c r="B337" s="1" t="str">
        <f>"15804"</f>
        <v>15804</v>
      </c>
      <c r="C337" s="1" t="str">
        <f>"NEW LISBON"</f>
        <v>NEW LISBON</v>
      </c>
      <c r="D337" s="1" t="str">
        <f>"NJ"</f>
        <v>NJ</v>
      </c>
      <c r="E337" s="2">
        <v>0</v>
      </c>
      <c r="F337" s="2">
        <v>0</v>
      </c>
      <c r="G337" s="2">
        <v>1</v>
      </c>
      <c r="H337" s="2">
        <v>1</v>
      </c>
    </row>
    <row r="338" spans="1:8" x14ac:dyDescent="0.25">
      <c r="A338" s="1" t="str">
        <f>"90844"</f>
        <v>90844</v>
      </c>
      <c r="B338" s="1" t="str">
        <f>"31084"</f>
        <v>31084</v>
      </c>
      <c r="C338" s="1" t="str">
        <f>"LONG BEACH"</f>
        <v>LONG BEACH</v>
      </c>
      <c r="D338" s="1" t="str">
        <f>"CA"</f>
        <v>CA</v>
      </c>
      <c r="E338" s="2">
        <v>0</v>
      </c>
      <c r="F338" s="2">
        <v>1</v>
      </c>
      <c r="G338" s="2">
        <v>0</v>
      </c>
      <c r="H338" s="2">
        <v>1</v>
      </c>
    </row>
    <row r="339" spans="1:8" x14ac:dyDescent="0.25">
      <c r="A339" s="1" t="str">
        <f>"02355"</f>
        <v>02355</v>
      </c>
      <c r="B339" s="1" t="str">
        <f>"14454"</f>
        <v>14454</v>
      </c>
      <c r="C339" s="1" t="str">
        <f>"NORTH CARVER"</f>
        <v>NORTH CARVER</v>
      </c>
      <c r="D339" s="1" t="str">
        <f>"MA"</f>
        <v>MA</v>
      </c>
      <c r="E339" s="2">
        <v>0</v>
      </c>
      <c r="F339" s="2">
        <v>1</v>
      </c>
      <c r="G339" s="2">
        <v>0</v>
      </c>
      <c r="H339" s="2">
        <v>1</v>
      </c>
    </row>
    <row r="340" spans="1:8" x14ac:dyDescent="0.25">
      <c r="A340" s="1" t="str">
        <f>"10131"</f>
        <v>10131</v>
      </c>
      <c r="B340" s="1" t="str">
        <f>"35614"</f>
        <v>35614</v>
      </c>
      <c r="C340" s="1" t="str">
        <f>"NEW YORK"</f>
        <v>NEW YORK</v>
      </c>
      <c r="D340" s="1" t="str">
        <f>"NY"</f>
        <v>NY</v>
      </c>
      <c r="E340" s="2">
        <v>0</v>
      </c>
      <c r="F340" s="2">
        <v>0</v>
      </c>
      <c r="G340" s="2">
        <v>1</v>
      </c>
      <c r="H340" s="2">
        <v>1</v>
      </c>
    </row>
    <row r="341" spans="1:8" x14ac:dyDescent="0.25">
      <c r="A341" s="1" t="str">
        <f>"08025"</f>
        <v>08025</v>
      </c>
      <c r="B341" s="1" t="str">
        <f>"15804"</f>
        <v>15804</v>
      </c>
      <c r="C341" s="1" t="str">
        <f>"EWAN"</f>
        <v>EWAN</v>
      </c>
      <c r="D341" s="1" t="str">
        <f>"NJ"</f>
        <v>NJ</v>
      </c>
      <c r="E341" s="2">
        <v>0</v>
      </c>
      <c r="F341" s="2">
        <v>0</v>
      </c>
      <c r="G341" s="2">
        <v>1</v>
      </c>
      <c r="H341" s="2">
        <v>1</v>
      </c>
    </row>
    <row r="342" spans="1:8" x14ac:dyDescent="0.25">
      <c r="A342" s="1" t="str">
        <f>"19172"</f>
        <v>19172</v>
      </c>
      <c r="B342" s="1" t="str">
        <f>"37964"</f>
        <v>37964</v>
      </c>
      <c r="C342" s="1" t="str">
        <f>"PHILADELPHIA"</f>
        <v>PHILADELPHIA</v>
      </c>
      <c r="D342" s="1" t="str">
        <f>"PA"</f>
        <v>PA</v>
      </c>
      <c r="E342" s="2">
        <v>0</v>
      </c>
      <c r="F342" s="2">
        <v>1</v>
      </c>
      <c r="G342" s="2">
        <v>0</v>
      </c>
      <c r="H342" s="2">
        <v>1</v>
      </c>
    </row>
    <row r="343" spans="1:8" x14ac:dyDescent="0.25">
      <c r="A343" s="1" t="str">
        <f>"22565"</f>
        <v>22565</v>
      </c>
      <c r="B343" s="1" t="str">
        <f>"47894"</f>
        <v>47894</v>
      </c>
      <c r="C343" s="1" t="str">
        <f>"THORNBURG"</f>
        <v>THORNBURG</v>
      </c>
      <c r="D343" s="1" t="str">
        <f>"VA"</f>
        <v>VA</v>
      </c>
      <c r="E343" s="2">
        <v>0</v>
      </c>
      <c r="F343" s="2">
        <v>0</v>
      </c>
      <c r="G343" s="2">
        <v>1</v>
      </c>
      <c r="H343" s="2">
        <v>1</v>
      </c>
    </row>
    <row r="344" spans="1:8" x14ac:dyDescent="0.25">
      <c r="A344" s="1" t="str">
        <f>"20240"</f>
        <v>20240</v>
      </c>
      <c r="B344" s="1" t="str">
        <f>"47894"</f>
        <v>47894</v>
      </c>
      <c r="C344" s="1" t="str">
        <f>"WASHINGTON"</f>
        <v>WASHINGTON</v>
      </c>
      <c r="D344" s="1" t="str">
        <f>"DC"</f>
        <v>DC</v>
      </c>
      <c r="E344" s="2">
        <v>0</v>
      </c>
      <c r="F344" s="2">
        <v>1</v>
      </c>
      <c r="G344" s="2">
        <v>0</v>
      </c>
      <c r="H344" s="2">
        <v>1</v>
      </c>
    </row>
    <row r="345" spans="1:8" x14ac:dyDescent="0.25">
      <c r="A345" s="1" t="str">
        <f>"01730"</f>
        <v>01730</v>
      </c>
      <c r="B345" s="1" t="str">
        <f>"15764"</f>
        <v>15764</v>
      </c>
      <c r="C345" s="1" t="str">
        <f>"BEDFORD"</f>
        <v>BEDFORD</v>
      </c>
      <c r="D345" s="1" t="str">
        <f t="shared" ref="D345:D355" si="29">"MA"</f>
        <v>MA</v>
      </c>
      <c r="E345" s="2">
        <v>1</v>
      </c>
      <c r="F345" s="2">
        <v>1</v>
      </c>
      <c r="G345" s="2">
        <v>1</v>
      </c>
      <c r="H345" s="2">
        <v>1</v>
      </c>
    </row>
    <row r="346" spans="1:8" x14ac:dyDescent="0.25">
      <c r="A346" s="1" t="str">
        <f>"01850"</f>
        <v>01850</v>
      </c>
      <c r="B346" s="1" t="str">
        <f>"15764"</f>
        <v>15764</v>
      </c>
      <c r="C346" s="1" t="str">
        <f>"LOWELL"</f>
        <v>LOWELL</v>
      </c>
      <c r="D346" s="1" t="str">
        <f t="shared" si="29"/>
        <v>MA</v>
      </c>
      <c r="E346" s="2">
        <v>1</v>
      </c>
      <c r="F346" s="2">
        <v>1</v>
      </c>
      <c r="G346" s="2">
        <v>1</v>
      </c>
      <c r="H346" s="2">
        <v>1</v>
      </c>
    </row>
    <row r="347" spans="1:8" x14ac:dyDescent="0.25">
      <c r="A347" s="1" t="str">
        <f>"01908"</f>
        <v>01908</v>
      </c>
      <c r="B347" s="1" t="str">
        <f>"15764"</f>
        <v>15764</v>
      </c>
      <c r="C347" s="1" t="str">
        <f>"NAHANT"</f>
        <v>NAHANT</v>
      </c>
      <c r="D347" s="1" t="str">
        <f t="shared" si="29"/>
        <v>MA</v>
      </c>
      <c r="E347" s="2">
        <v>1</v>
      </c>
      <c r="F347" s="2">
        <v>1</v>
      </c>
      <c r="G347" s="2">
        <v>1</v>
      </c>
      <c r="H347" s="2">
        <v>1</v>
      </c>
    </row>
    <row r="348" spans="1:8" x14ac:dyDescent="0.25">
      <c r="A348" s="1" t="str">
        <f>"02019"</f>
        <v>02019</v>
      </c>
      <c r="B348" s="1" t="str">
        <f>"14454"</f>
        <v>14454</v>
      </c>
      <c r="C348" s="1" t="str">
        <f>"BELLINGHAM"</f>
        <v>BELLINGHAM</v>
      </c>
      <c r="D348" s="1" t="str">
        <f t="shared" si="29"/>
        <v>MA</v>
      </c>
      <c r="E348" s="2">
        <v>1</v>
      </c>
      <c r="F348" s="2">
        <v>1</v>
      </c>
      <c r="G348" s="2">
        <v>1</v>
      </c>
      <c r="H348" s="2">
        <v>1</v>
      </c>
    </row>
    <row r="349" spans="1:8" x14ac:dyDescent="0.25">
      <c r="A349" s="1" t="str">
        <f>"02093"</f>
        <v>02093</v>
      </c>
      <c r="B349" s="1" t="str">
        <f>"14454"</f>
        <v>14454</v>
      </c>
      <c r="C349" s="1" t="str">
        <f>"WRENTHAM"</f>
        <v>WRENTHAM</v>
      </c>
      <c r="D349" s="1" t="str">
        <f t="shared" si="29"/>
        <v>MA</v>
      </c>
      <c r="E349" s="2">
        <v>1</v>
      </c>
      <c r="F349" s="2">
        <v>1</v>
      </c>
      <c r="G349" s="2">
        <v>1</v>
      </c>
      <c r="H349" s="2">
        <v>1</v>
      </c>
    </row>
    <row r="350" spans="1:8" x14ac:dyDescent="0.25">
      <c r="A350" s="1" t="str">
        <f>"02341"</f>
        <v>02341</v>
      </c>
      <c r="B350" s="1" t="str">
        <f>"14454"</f>
        <v>14454</v>
      </c>
      <c r="C350" s="1" t="str">
        <f>"HANSON"</f>
        <v>HANSON</v>
      </c>
      <c r="D350" s="1" t="str">
        <f t="shared" si="29"/>
        <v>MA</v>
      </c>
      <c r="E350" s="2">
        <v>1</v>
      </c>
      <c r="F350" s="2">
        <v>1</v>
      </c>
      <c r="G350" s="2">
        <v>1</v>
      </c>
      <c r="H350" s="2">
        <v>1</v>
      </c>
    </row>
    <row r="351" spans="1:8" x14ac:dyDescent="0.25">
      <c r="A351" s="1" t="str">
        <f>"02364"</f>
        <v>02364</v>
      </c>
      <c r="B351" s="1" t="str">
        <f>"14454"</f>
        <v>14454</v>
      </c>
      <c r="C351" s="1" t="str">
        <f>"KINGSTON"</f>
        <v>KINGSTON</v>
      </c>
      <c r="D351" s="1" t="str">
        <f t="shared" si="29"/>
        <v>MA</v>
      </c>
      <c r="E351" s="2">
        <v>1</v>
      </c>
      <c r="F351" s="2">
        <v>1</v>
      </c>
      <c r="G351" s="2">
        <v>1</v>
      </c>
      <c r="H351" s="2">
        <v>1</v>
      </c>
    </row>
    <row r="352" spans="1:8" x14ac:dyDescent="0.25">
      <c r="A352" s="1" t="str">
        <f>"02467"</f>
        <v>02467</v>
      </c>
      <c r="B352" s="1" t="str">
        <f>"15764"</f>
        <v>15764</v>
      </c>
      <c r="C352" s="1" t="str">
        <f>"CHESTNUT HILL"</f>
        <v>CHESTNUT HILL</v>
      </c>
      <c r="D352" s="1" t="str">
        <f t="shared" si="29"/>
        <v>MA</v>
      </c>
      <c r="E352" s="2">
        <v>0.35755968169761199</v>
      </c>
      <c r="F352" s="2">
        <v>0.54451038575667599</v>
      </c>
      <c r="G352" s="2">
        <v>0.24640657084188899</v>
      </c>
      <c r="H352" s="2">
        <v>0.36582002068727698</v>
      </c>
    </row>
    <row r="353" spans="1:8" x14ac:dyDescent="0.25">
      <c r="A353" s="1" t="str">
        <f>"02467"</f>
        <v>02467</v>
      </c>
      <c r="B353" s="1" t="str">
        <f>"14454"</f>
        <v>14454</v>
      </c>
      <c r="C353" s="1" t="str">
        <f>"CHESTNUT HILL"</f>
        <v>CHESTNUT HILL</v>
      </c>
      <c r="D353" s="1" t="str">
        <f t="shared" si="29"/>
        <v>MA</v>
      </c>
      <c r="E353" s="2">
        <v>0.64244031830238701</v>
      </c>
      <c r="F353" s="2">
        <v>0.45548961424332302</v>
      </c>
      <c r="G353" s="2">
        <v>0.75359342915811001</v>
      </c>
      <c r="H353" s="2">
        <v>0.63417997931272196</v>
      </c>
    </row>
    <row r="354" spans="1:8" x14ac:dyDescent="0.25">
      <c r="A354" s="1" t="str">
        <f>"02494"</f>
        <v>02494</v>
      </c>
      <c r="B354" s="1" t="str">
        <f>"14454"</f>
        <v>14454</v>
      </c>
      <c r="C354" s="1" t="str">
        <f>"NEEDHAM HEIGHTS"</f>
        <v>NEEDHAM HEIGHTS</v>
      </c>
      <c r="D354" s="1" t="str">
        <f t="shared" si="29"/>
        <v>MA</v>
      </c>
      <c r="E354" s="2">
        <v>1</v>
      </c>
      <c r="F354" s="2">
        <v>1</v>
      </c>
      <c r="G354" s="2">
        <v>1</v>
      </c>
      <c r="H354" s="2">
        <v>1</v>
      </c>
    </row>
    <row r="355" spans="1:8" x14ac:dyDescent="0.25">
      <c r="A355" s="1" t="str">
        <f>"02474"</f>
        <v>02474</v>
      </c>
      <c r="B355" s="1" t="str">
        <f>"15764"</f>
        <v>15764</v>
      </c>
      <c r="C355" s="1" t="str">
        <f>"ARLINGTON"</f>
        <v>ARLINGTON</v>
      </c>
      <c r="D355" s="1" t="str">
        <f t="shared" si="29"/>
        <v>MA</v>
      </c>
      <c r="E355" s="2">
        <v>1</v>
      </c>
      <c r="F355" s="2">
        <v>1</v>
      </c>
      <c r="G355" s="2">
        <v>1</v>
      </c>
      <c r="H355" s="2">
        <v>1</v>
      </c>
    </row>
    <row r="356" spans="1:8" x14ac:dyDescent="0.25">
      <c r="A356" s="1" t="str">
        <f>"07014"</f>
        <v>07014</v>
      </c>
      <c r="B356" s="1" t="str">
        <f>"35084"</f>
        <v>35084</v>
      </c>
      <c r="C356" s="1" t="str">
        <f>"CLIFTON"</f>
        <v>CLIFTON</v>
      </c>
      <c r="D356" s="1" t="str">
        <f t="shared" ref="D356:D371" si="30">"NJ"</f>
        <v>NJ</v>
      </c>
      <c r="E356" s="2">
        <v>0</v>
      </c>
      <c r="F356" s="2">
        <v>3.4482758620689598E-3</v>
      </c>
      <c r="G356" s="2">
        <v>0</v>
      </c>
      <c r="H356" s="2">
        <v>4.0322580645161198E-4</v>
      </c>
    </row>
    <row r="357" spans="1:8" x14ac:dyDescent="0.25">
      <c r="A357" s="1" t="str">
        <f>"07014"</f>
        <v>07014</v>
      </c>
      <c r="B357" s="1" t="str">
        <f>"35614"</f>
        <v>35614</v>
      </c>
      <c r="C357" s="1" t="str">
        <f>"CLIFTON"</f>
        <v>CLIFTON</v>
      </c>
      <c r="D357" s="1" t="str">
        <f t="shared" si="30"/>
        <v>NJ</v>
      </c>
      <c r="E357" s="2">
        <v>1</v>
      </c>
      <c r="F357" s="2">
        <v>0.99655172413793103</v>
      </c>
      <c r="G357" s="2">
        <v>1</v>
      </c>
      <c r="H357" s="2">
        <v>0.99959677419354798</v>
      </c>
    </row>
    <row r="358" spans="1:8" x14ac:dyDescent="0.25">
      <c r="A358" s="1" t="str">
        <f>"07067"</f>
        <v>07067</v>
      </c>
      <c r="B358" s="1" t="str">
        <f>"35154"</f>
        <v>35154</v>
      </c>
      <c r="C358" s="1" t="str">
        <f>"COLONIA"</f>
        <v>COLONIA</v>
      </c>
      <c r="D358" s="1" t="str">
        <f t="shared" si="30"/>
        <v>NJ</v>
      </c>
      <c r="E358" s="2">
        <v>0.99785007883044197</v>
      </c>
      <c r="F358" s="2">
        <v>1</v>
      </c>
      <c r="G358" s="2">
        <v>1</v>
      </c>
      <c r="H358" s="2">
        <v>0.99798630688682999</v>
      </c>
    </row>
    <row r="359" spans="1:8" x14ac:dyDescent="0.25">
      <c r="A359" s="1" t="str">
        <f>"07067"</f>
        <v>07067</v>
      </c>
      <c r="B359" s="1" t="str">
        <f>"35084"</f>
        <v>35084</v>
      </c>
      <c r="C359" s="1" t="str">
        <f>"COLONIA"</f>
        <v>COLONIA</v>
      </c>
      <c r="D359" s="1" t="str">
        <f t="shared" si="30"/>
        <v>NJ</v>
      </c>
      <c r="E359" s="2">
        <v>2.1499211695571101E-3</v>
      </c>
      <c r="F359" s="2">
        <v>0</v>
      </c>
      <c r="G359" s="2">
        <v>0</v>
      </c>
      <c r="H359" s="2">
        <v>2.0136931131695501E-3</v>
      </c>
    </row>
    <row r="360" spans="1:8" x14ac:dyDescent="0.25">
      <c r="A360" s="1" t="str">
        <f>"07203"</f>
        <v>07203</v>
      </c>
      <c r="B360" s="1" t="str">
        <f>"35084"</f>
        <v>35084</v>
      </c>
      <c r="C360" s="1" t="str">
        <f>"ROSELLE"</f>
        <v>ROSELLE</v>
      </c>
      <c r="D360" s="1" t="str">
        <f t="shared" si="30"/>
        <v>NJ</v>
      </c>
      <c r="E360" s="2">
        <v>1</v>
      </c>
      <c r="F360" s="2">
        <v>1</v>
      </c>
      <c r="G360" s="2">
        <v>1</v>
      </c>
      <c r="H360" s="2">
        <v>1</v>
      </c>
    </row>
    <row r="361" spans="1:8" x14ac:dyDescent="0.25">
      <c r="A361" s="1" t="str">
        <f>"07403"</f>
        <v>07403</v>
      </c>
      <c r="B361" s="1" t="str">
        <f>"35614"</f>
        <v>35614</v>
      </c>
      <c r="C361" s="1" t="str">
        <f>"BLOOMINGDALE"</f>
        <v>BLOOMINGDALE</v>
      </c>
      <c r="D361" s="1" t="str">
        <f t="shared" si="30"/>
        <v>NJ</v>
      </c>
      <c r="E361" s="2">
        <v>0.99936122644522496</v>
      </c>
      <c r="F361" s="2">
        <v>0.984375</v>
      </c>
      <c r="G361" s="2">
        <v>0.96984924623115498</v>
      </c>
      <c r="H361" s="2">
        <v>0.99687677455990897</v>
      </c>
    </row>
    <row r="362" spans="1:8" x14ac:dyDescent="0.25">
      <c r="A362" s="1" t="str">
        <f>"07403"</f>
        <v>07403</v>
      </c>
      <c r="B362" s="1" t="str">
        <f>"35084"</f>
        <v>35084</v>
      </c>
      <c r="C362" s="1" t="str">
        <f>"BLOOMINGDALE"</f>
        <v>BLOOMINGDALE</v>
      </c>
      <c r="D362" s="1" t="str">
        <f t="shared" si="30"/>
        <v>NJ</v>
      </c>
      <c r="E362" s="2">
        <v>6.3877355477483201E-4</v>
      </c>
      <c r="F362" s="2">
        <v>1.5625E-2</v>
      </c>
      <c r="G362" s="2">
        <v>3.0150753768844199E-2</v>
      </c>
      <c r="H362" s="2">
        <v>3.1232254400908499E-3</v>
      </c>
    </row>
    <row r="363" spans="1:8" x14ac:dyDescent="0.25">
      <c r="A363" s="1" t="str">
        <f>"07511"</f>
        <v>07511</v>
      </c>
      <c r="B363" s="1" t="str">
        <f>"35614"</f>
        <v>35614</v>
      </c>
      <c r="C363" s="1" t="str">
        <f>"TOTOWA"</f>
        <v>TOTOWA</v>
      </c>
      <c r="D363" s="1" t="str">
        <f t="shared" si="30"/>
        <v>NJ</v>
      </c>
      <c r="E363" s="2">
        <v>1</v>
      </c>
      <c r="F363" s="2">
        <v>1</v>
      </c>
      <c r="G363" s="2">
        <v>1</v>
      </c>
      <c r="H363" s="2">
        <v>1</v>
      </c>
    </row>
    <row r="364" spans="1:8" x14ac:dyDescent="0.25">
      <c r="A364" s="1" t="str">
        <f>"07666"</f>
        <v>07666</v>
      </c>
      <c r="B364" s="1" t="str">
        <f>"35614"</f>
        <v>35614</v>
      </c>
      <c r="C364" s="1" t="str">
        <f>"TEANECK"</f>
        <v>TEANECK</v>
      </c>
      <c r="D364" s="1" t="str">
        <f t="shared" si="30"/>
        <v>NJ</v>
      </c>
      <c r="E364" s="2">
        <v>1</v>
      </c>
      <c r="F364" s="2">
        <v>1</v>
      </c>
      <c r="G364" s="2">
        <v>1</v>
      </c>
      <c r="H364" s="2">
        <v>1</v>
      </c>
    </row>
    <row r="365" spans="1:8" x14ac:dyDescent="0.25">
      <c r="A365" s="1" t="str">
        <f>"07748"</f>
        <v>07748</v>
      </c>
      <c r="B365" s="1" t="str">
        <f>"35154"</f>
        <v>35154</v>
      </c>
      <c r="C365" s="1" t="str">
        <f>"MIDDLETOWN"</f>
        <v>MIDDLETOWN</v>
      </c>
      <c r="D365" s="1" t="str">
        <f t="shared" si="30"/>
        <v>NJ</v>
      </c>
      <c r="E365" s="2">
        <v>1</v>
      </c>
      <c r="F365" s="2">
        <v>1</v>
      </c>
      <c r="G365" s="2">
        <v>1</v>
      </c>
      <c r="H365" s="2">
        <v>1</v>
      </c>
    </row>
    <row r="366" spans="1:8" x14ac:dyDescent="0.25">
      <c r="A366" s="1" t="str">
        <f>"07755"</f>
        <v>07755</v>
      </c>
      <c r="B366" s="1" t="str">
        <f>"35154"</f>
        <v>35154</v>
      </c>
      <c r="C366" s="1" t="str">
        <f>"OAKHURST"</f>
        <v>OAKHURST</v>
      </c>
      <c r="D366" s="1" t="str">
        <f t="shared" si="30"/>
        <v>NJ</v>
      </c>
      <c r="E366" s="2">
        <v>1</v>
      </c>
      <c r="F366" s="2">
        <v>1</v>
      </c>
      <c r="G366" s="2">
        <v>1</v>
      </c>
      <c r="H366" s="2">
        <v>1</v>
      </c>
    </row>
    <row r="367" spans="1:8" x14ac:dyDescent="0.25">
      <c r="A367" s="1" t="str">
        <f>"07760"</f>
        <v>07760</v>
      </c>
      <c r="B367" s="1" t="str">
        <f>"35154"</f>
        <v>35154</v>
      </c>
      <c r="C367" s="1" t="str">
        <f>"RUMSON"</f>
        <v>RUMSON</v>
      </c>
      <c r="D367" s="1" t="str">
        <f t="shared" si="30"/>
        <v>NJ</v>
      </c>
      <c r="E367" s="2">
        <v>1</v>
      </c>
      <c r="F367" s="2">
        <v>1</v>
      </c>
      <c r="G367" s="2">
        <v>1</v>
      </c>
      <c r="H367" s="2">
        <v>1</v>
      </c>
    </row>
    <row r="368" spans="1:8" x14ac:dyDescent="0.25">
      <c r="A368" s="1" t="str">
        <f>"07981"</f>
        <v>07981</v>
      </c>
      <c r="B368" s="1" t="str">
        <f>"35084"</f>
        <v>35084</v>
      </c>
      <c r="C368" s="1" t="str">
        <f>"WHIPPANY"</f>
        <v>WHIPPANY</v>
      </c>
      <c r="D368" s="1" t="str">
        <f t="shared" si="30"/>
        <v>NJ</v>
      </c>
      <c r="E368" s="2">
        <v>1</v>
      </c>
      <c r="F368" s="2">
        <v>1</v>
      </c>
      <c r="G368" s="2">
        <v>1</v>
      </c>
      <c r="H368" s="2">
        <v>1</v>
      </c>
    </row>
    <row r="369" spans="1:8" x14ac:dyDescent="0.25">
      <c r="A369" s="1" t="str">
        <f>"07974"</f>
        <v>07974</v>
      </c>
      <c r="B369" s="1" t="str">
        <f>"35084"</f>
        <v>35084</v>
      </c>
      <c r="C369" s="1" t="str">
        <f>"NEW PROVIDENCE"</f>
        <v>NEW PROVIDENCE</v>
      </c>
      <c r="D369" s="1" t="str">
        <f t="shared" si="30"/>
        <v>NJ</v>
      </c>
      <c r="E369" s="2">
        <v>1</v>
      </c>
      <c r="F369" s="2">
        <v>1</v>
      </c>
      <c r="G369" s="2">
        <v>1</v>
      </c>
      <c r="H369" s="2">
        <v>1</v>
      </c>
    </row>
    <row r="370" spans="1:8" x14ac:dyDescent="0.25">
      <c r="A370" s="1" t="str">
        <f>"07932"</f>
        <v>07932</v>
      </c>
      <c r="B370" s="1" t="str">
        <f>"35084"</f>
        <v>35084</v>
      </c>
      <c r="C370" s="1" t="str">
        <f>"FLORHAM PARK"</f>
        <v>FLORHAM PARK</v>
      </c>
      <c r="D370" s="1" t="str">
        <f t="shared" si="30"/>
        <v>NJ</v>
      </c>
      <c r="E370" s="2">
        <v>1</v>
      </c>
      <c r="F370" s="2">
        <v>1</v>
      </c>
      <c r="G370" s="2">
        <v>1</v>
      </c>
      <c r="H370" s="2">
        <v>1</v>
      </c>
    </row>
    <row r="371" spans="1:8" x14ac:dyDescent="0.25">
      <c r="A371" s="1" t="str">
        <f>"08825"</f>
        <v>08825</v>
      </c>
      <c r="B371" s="1" t="str">
        <f>"35084"</f>
        <v>35084</v>
      </c>
      <c r="C371" s="1" t="str">
        <f>"FRENCHTOWN"</f>
        <v>FRENCHTOWN</v>
      </c>
      <c r="D371" s="1" t="str">
        <f t="shared" si="30"/>
        <v>NJ</v>
      </c>
      <c r="E371" s="2">
        <v>1</v>
      </c>
      <c r="F371" s="2">
        <v>1</v>
      </c>
      <c r="G371" s="2">
        <v>1</v>
      </c>
      <c r="H371" s="2">
        <v>1</v>
      </c>
    </row>
    <row r="372" spans="1:8" x14ac:dyDescent="0.25">
      <c r="A372" s="1" t="str">
        <f>"10001"</f>
        <v>10001</v>
      </c>
      <c r="B372" s="1" t="str">
        <f>"35614"</f>
        <v>35614</v>
      </c>
      <c r="C372" s="1" t="str">
        <f>"NEW YORK"</f>
        <v>NEW YORK</v>
      </c>
      <c r="D372" s="1" t="str">
        <f t="shared" ref="D372:D387" si="31">"NY"</f>
        <v>NY</v>
      </c>
      <c r="E372" s="2">
        <v>1</v>
      </c>
      <c r="F372" s="2">
        <v>1</v>
      </c>
      <c r="G372" s="2">
        <v>1</v>
      </c>
      <c r="H372" s="2">
        <v>1</v>
      </c>
    </row>
    <row r="373" spans="1:8" x14ac:dyDescent="0.25">
      <c r="A373" s="1" t="str">
        <f>"10075"</f>
        <v>10075</v>
      </c>
      <c r="B373" s="1" t="str">
        <f>"35614"</f>
        <v>35614</v>
      </c>
      <c r="C373" s="1" t="str">
        <f>"NEW YORK"</f>
        <v>NEW YORK</v>
      </c>
      <c r="D373" s="1" t="str">
        <f t="shared" si="31"/>
        <v>NY</v>
      </c>
      <c r="E373" s="2">
        <v>1</v>
      </c>
      <c r="F373" s="2">
        <v>1</v>
      </c>
      <c r="G373" s="2">
        <v>1</v>
      </c>
      <c r="H373" s="2">
        <v>1</v>
      </c>
    </row>
    <row r="374" spans="1:8" x14ac:dyDescent="0.25">
      <c r="A374" s="1" t="str">
        <f>"11206"</f>
        <v>11206</v>
      </c>
      <c r="B374" s="1" t="str">
        <f>"35614"</f>
        <v>35614</v>
      </c>
      <c r="C374" s="1" t="str">
        <f>"BROOKLYN"</f>
        <v>BROOKLYN</v>
      </c>
      <c r="D374" s="1" t="str">
        <f t="shared" si="31"/>
        <v>NY</v>
      </c>
      <c r="E374" s="2">
        <v>1</v>
      </c>
      <c r="F374" s="2">
        <v>1</v>
      </c>
      <c r="G374" s="2">
        <v>1</v>
      </c>
      <c r="H374" s="2">
        <v>1</v>
      </c>
    </row>
    <row r="375" spans="1:8" x14ac:dyDescent="0.25">
      <c r="A375" s="1" t="str">
        <f>"11214"</f>
        <v>11214</v>
      </c>
      <c r="B375" s="1" t="str">
        <f>"35614"</f>
        <v>35614</v>
      </c>
      <c r="C375" s="1" t="str">
        <f>"BROOKLYN"</f>
        <v>BROOKLYN</v>
      </c>
      <c r="D375" s="1" t="str">
        <f t="shared" si="31"/>
        <v>NY</v>
      </c>
      <c r="E375" s="2">
        <v>1</v>
      </c>
      <c r="F375" s="2">
        <v>1</v>
      </c>
      <c r="G375" s="2">
        <v>1</v>
      </c>
      <c r="H375" s="2">
        <v>1</v>
      </c>
    </row>
    <row r="376" spans="1:8" x14ac:dyDescent="0.25">
      <c r="A376" s="1" t="str">
        <f>"11232"</f>
        <v>11232</v>
      </c>
      <c r="B376" s="1" t="str">
        <f>"35614"</f>
        <v>35614</v>
      </c>
      <c r="C376" s="1" t="str">
        <f>"BROOKLYN"</f>
        <v>BROOKLYN</v>
      </c>
      <c r="D376" s="1" t="str">
        <f t="shared" si="31"/>
        <v>NY</v>
      </c>
      <c r="E376" s="2">
        <v>1</v>
      </c>
      <c r="F376" s="2">
        <v>1</v>
      </c>
      <c r="G376" s="2">
        <v>1</v>
      </c>
      <c r="H376" s="2">
        <v>1</v>
      </c>
    </row>
    <row r="377" spans="1:8" x14ac:dyDescent="0.25">
      <c r="A377" s="1" t="str">
        <f>"11023"</f>
        <v>11023</v>
      </c>
      <c r="B377" s="1" t="str">
        <f>"35004"</f>
        <v>35004</v>
      </c>
      <c r="C377" s="1" t="str">
        <f>"GREAT NECK"</f>
        <v>GREAT NECK</v>
      </c>
      <c r="D377" s="1" t="str">
        <f t="shared" si="31"/>
        <v>NY</v>
      </c>
      <c r="E377" s="2">
        <v>1</v>
      </c>
      <c r="F377" s="2">
        <v>1</v>
      </c>
      <c r="G377" s="2">
        <v>1</v>
      </c>
      <c r="H377" s="2">
        <v>1</v>
      </c>
    </row>
    <row r="378" spans="1:8" x14ac:dyDescent="0.25">
      <c r="A378" s="1" t="str">
        <f>"11423"</f>
        <v>11423</v>
      </c>
      <c r="B378" s="1" t="str">
        <f>"35614"</f>
        <v>35614</v>
      </c>
      <c r="C378" s="1" t="str">
        <f>"HOLLIS"</f>
        <v>HOLLIS</v>
      </c>
      <c r="D378" s="1" t="str">
        <f t="shared" si="31"/>
        <v>NY</v>
      </c>
      <c r="E378" s="2">
        <v>1</v>
      </c>
      <c r="F378" s="2">
        <v>1</v>
      </c>
      <c r="G378" s="2">
        <v>1</v>
      </c>
      <c r="H378" s="2">
        <v>1</v>
      </c>
    </row>
    <row r="379" spans="1:8" x14ac:dyDescent="0.25">
      <c r="A379" s="1" t="str">
        <f>"11415"</f>
        <v>11415</v>
      </c>
      <c r="B379" s="1" t="str">
        <f>"35614"</f>
        <v>35614</v>
      </c>
      <c r="C379" s="1" t="str">
        <f>"KEW GARDENS"</f>
        <v>KEW GARDENS</v>
      </c>
      <c r="D379" s="1" t="str">
        <f t="shared" si="31"/>
        <v>NY</v>
      </c>
      <c r="E379" s="2">
        <v>1</v>
      </c>
      <c r="F379" s="2">
        <v>1</v>
      </c>
      <c r="G379" s="2">
        <v>1</v>
      </c>
      <c r="H379" s="2">
        <v>1</v>
      </c>
    </row>
    <row r="380" spans="1:8" x14ac:dyDescent="0.25">
      <c r="A380" s="1" t="str">
        <f>"11590"</f>
        <v>11590</v>
      </c>
      <c r="B380" s="1" t="str">
        <f>"35004"</f>
        <v>35004</v>
      </c>
      <c r="C380" s="1" t="str">
        <f>"WESTBURY"</f>
        <v>WESTBURY</v>
      </c>
      <c r="D380" s="1" t="str">
        <f t="shared" si="31"/>
        <v>NY</v>
      </c>
      <c r="E380" s="2">
        <v>1</v>
      </c>
      <c r="F380" s="2">
        <v>1</v>
      </c>
      <c r="G380" s="2">
        <v>1</v>
      </c>
      <c r="H380" s="2">
        <v>1</v>
      </c>
    </row>
    <row r="381" spans="1:8" x14ac:dyDescent="0.25">
      <c r="A381" s="1" t="str">
        <f>"11596"</f>
        <v>11596</v>
      </c>
      <c r="B381" s="1" t="str">
        <f>"35004"</f>
        <v>35004</v>
      </c>
      <c r="C381" s="1" t="str">
        <f>"WILLISTON PARK"</f>
        <v>WILLISTON PARK</v>
      </c>
      <c r="D381" s="1" t="str">
        <f t="shared" si="31"/>
        <v>NY</v>
      </c>
      <c r="E381" s="2">
        <v>1</v>
      </c>
      <c r="F381" s="2">
        <v>1</v>
      </c>
      <c r="G381" s="2">
        <v>1</v>
      </c>
      <c r="H381" s="2">
        <v>1</v>
      </c>
    </row>
    <row r="382" spans="1:8" x14ac:dyDescent="0.25">
      <c r="A382" s="1" t="str">
        <f>"11783"</f>
        <v>11783</v>
      </c>
      <c r="B382" s="1" t="str">
        <f>"35004"</f>
        <v>35004</v>
      </c>
      <c r="C382" s="1" t="str">
        <f>"SEAFORD"</f>
        <v>SEAFORD</v>
      </c>
      <c r="D382" s="1" t="str">
        <f t="shared" si="31"/>
        <v>NY</v>
      </c>
      <c r="E382" s="2">
        <v>1</v>
      </c>
      <c r="F382" s="2">
        <v>1</v>
      </c>
      <c r="G382" s="2">
        <v>1</v>
      </c>
      <c r="H382" s="2">
        <v>1</v>
      </c>
    </row>
    <row r="383" spans="1:8" x14ac:dyDescent="0.25">
      <c r="A383" s="1" t="str">
        <f>"10526"</f>
        <v>10526</v>
      </c>
      <c r="B383" s="1" t="str">
        <f>"35614"</f>
        <v>35614</v>
      </c>
      <c r="C383" s="1" t="str">
        <f>"GOLDENS BRIDGE"</f>
        <v>GOLDENS BRIDGE</v>
      </c>
      <c r="D383" s="1" t="str">
        <f t="shared" si="31"/>
        <v>NY</v>
      </c>
      <c r="E383" s="2">
        <v>1</v>
      </c>
      <c r="F383" s="2">
        <v>1</v>
      </c>
      <c r="G383" s="2">
        <v>1</v>
      </c>
      <c r="H383" s="2">
        <v>1</v>
      </c>
    </row>
    <row r="384" spans="1:8" x14ac:dyDescent="0.25">
      <c r="A384" s="1" t="str">
        <f>"10504"</f>
        <v>10504</v>
      </c>
      <c r="B384" s="1" t="str">
        <f>"35614"</f>
        <v>35614</v>
      </c>
      <c r="C384" s="1" t="str">
        <f>"ARMONK"</f>
        <v>ARMONK</v>
      </c>
      <c r="D384" s="1" t="str">
        <f t="shared" si="31"/>
        <v>NY</v>
      </c>
      <c r="E384" s="2">
        <v>1</v>
      </c>
      <c r="F384" s="2">
        <v>1</v>
      </c>
      <c r="G384" s="2">
        <v>1</v>
      </c>
      <c r="H384" s="2">
        <v>1</v>
      </c>
    </row>
    <row r="385" spans="1:8" x14ac:dyDescent="0.25">
      <c r="A385" s="1" t="str">
        <f>"10607"</f>
        <v>10607</v>
      </c>
      <c r="B385" s="1" t="str">
        <f>"35614"</f>
        <v>35614</v>
      </c>
      <c r="C385" s="1" t="str">
        <f>"WHITE PLAINS"</f>
        <v>WHITE PLAINS</v>
      </c>
      <c r="D385" s="1" t="str">
        <f t="shared" si="31"/>
        <v>NY</v>
      </c>
      <c r="E385" s="2">
        <v>1</v>
      </c>
      <c r="F385" s="2">
        <v>1</v>
      </c>
      <c r="G385" s="2">
        <v>1</v>
      </c>
      <c r="H385" s="2">
        <v>1</v>
      </c>
    </row>
    <row r="386" spans="1:8" x14ac:dyDescent="0.25">
      <c r="A386" s="1" t="str">
        <f>"10968"</f>
        <v>10968</v>
      </c>
      <c r="B386" s="1" t="str">
        <f>"35614"</f>
        <v>35614</v>
      </c>
      <c r="C386" s="1" t="str">
        <f>"PIERMONT"</f>
        <v>PIERMONT</v>
      </c>
      <c r="D386" s="1" t="str">
        <f t="shared" si="31"/>
        <v>NY</v>
      </c>
      <c r="E386" s="2">
        <v>1</v>
      </c>
      <c r="F386" s="2">
        <v>1</v>
      </c>
      <c r="G386" s="2">
        <v>1</v>
      </c>
      <c r="H386" s="2">
        <v>1</v>
      </c>
    </row>
    <row r="387" spans="1:8" x14ac:dyDescent="0.25">
      <c r="A387" s="1" t="str">
        <f>"10994"</f>
        <v>10994</v>
      </c>
      <c r="B387" s="1" t="str">
        <f>"35614"</f>
        <v>35614</v>
      </c>
      <c r="C387" s="1" t="str">
        <f>"WEST NYACK"</f>
        <v>WEST NYACK</v>
      </c>
      <c r="D387" s="1" t="str">
        <f t="shared" si="31"/>
        <v>NY</v>
      </c>
      <c r="E387" s="2">
        <v>1</v>
      </c>
      <c r="F387" s="2">
        <v>1</v>
      </c>
      <c r="G387" s="2">
        <v>1</v>
      </c>
      <c r="H387" s="2">
        <v>1</v>
      </c>
    </row>
    <row r="388" spans="1:8" x14ac:dyDescent="0.25">
      <c r="A388" s="1" t="str">
        <f>"18324"</f>
        <v>18324</v>
      </c>
      <c r="B388" s="1" t="str">
        <f>"35084"</f>
        <v>35084</v>
      </c>
      <c r="C388" s="1" t="str">
        <f>"BUSHKILL"</f>
        <v>BUSHKILL</v>
      </c>
      <c r="D388" s="1" t="str">
        <f t="shared" ref="D388:D396" si="32">"PA"</f>
        <v>PA</v>
      </c>
      <c r="E388" s="2">
        <v>1</v>
      </c>
      <c r="F388" s="2">
        <v>1</v>
      </c>
      <c r="G388" s="2">
        <v>1</v>
      </c>
      <c r="H388" s="2">
        <v>1</v>
      </c>
    </row>
    <row r="389" spans="1:8" x14ac:dyDescent="0.25">
      <c r="A389" s="1" t="str">
        <f>"18915"</f>
        <v>18915</v>
      </c>
      <c r="B389" s="1" t="str">
        <f>"33874"</f>
        <v>33874</v>
      </c>
      <c r="C389" s="1" t="str">
        <f>"COLMAR"</f>
        <v>COLMAR</v>
      </c>
      <c r="D389" s="1" t="str">
        <f t="shared" si="32"/>
        <v>PA</v>
      </c>
      <c r="E389" s="2">
        <v>1</v>
      </c>
      <c r="F389" s="2">
        <v>1</v>
      </c>
      <c r="G389" s="2">
        <v>1</v>
      </c>
      <c r="H389" s="2">
        <v>1</v>
      </c>
    </row>
    <row r="390" spans="1:8" x14ac:dyDescent="0.25">
      <c r="A390" s="1" t="str">
        <f>"19050"</f>
        <v>19050</v>
      </c>
      <c r="B390" s="1" t="str">
        <f>"37964"</f>
        <v>37964</v>
      </c>
      <c r="C390" s="1" t="str">
        <f>"LANSDOWNE"</f>
        <v>LANSDOWNE</v>
      </c>
      <c r="D390" s="1" t="str">
        <f t="shared" si="32"/>
        <v>PA</v>
      </c>
      <c r="E390" s="2">
        <v>1</v>
      </c>
      <c r="F390" s="2">
        <v>1</v>
      </c>
      <c r="G390" s="2">
        <v>1</v>
      </c>
      <c r="H390" s="2">
        <v>1</v>
      </c>
    </row>
    <row r="391" spans="1:8" x14ac:dyDescent="0.25">
      <c r="A391" s="1" t="str">
        <f>"19107"</f>
        <v>19107</v>
      </c>
      <c r="B391" s="1" t="str">
        <f>"37964"</f>
        <v>37964</v>
      </c>
      <c r="C391" s="1" t="str">
        <f>"PHILADELPHIA"</f>
        <v>PHILADELPHIA</v>
      </c>
      <c r="D391" s="1" t="str">
        <f t="shared" si="32"/>
        <v>PA</v>
      </c>
      <c r="E391" s="2">
        <v>1</v>
      </c>
      <c r="F391" s="2">
        <v>1</v>
      </c>
      <c r="G391" s="2">
        <v>1</v>
      </c>
      <c r="H391" s="2">
        <v>1</v>
      </c>
    </row>
    <row r="392" spans="1:8" x14ac:dyDescent="0.25">
      <c r="A392" s="1" t="str">
        <f>"19125"</f>
        <v>19125</v>
      </c>
      <c r="B392" s="1" t="str">
        <f>"37964"</f>
        <v>37964</v>
      </c>
      <c r="C392" s="1" t="str">
        <f>"PHILADELPHIA"</f>
        <v>PHILADELPHIA</v>
      </c>
      <c r="D392" s="1" t="str">
        <f t="shared" si="32"/>
        <v>PA</v>
      </c>
      <c r="E392" s="2">
        <v>1</v>
      </c>
      <c r="F392" s="2">
        <v>1</v>
      </c>
      <c r="G392" s="2">
        <v>1</v>
      </c>
      <c r="H392" s="2">
        <v>1</v>
      </c>
    </row>
    <row r="393" spans="1:8" x14ac:dyDescent="0.25">
      <c r="A393" s="1" t="str">
        <f>"19312"</f>
        <v>19312</v>
      </c>
      <c r="B393" s="1" t="str">
        <f>"33874"</f>
        <v>33874</v>
      </c>
      <c r="C393" s="1" t="str">
        <f>"BERWYN"</f>
        <v>BERWYN</v>
      </c>
      <c r="D393" s="1" t="str">
        <f t="shared" si="32"/>
        <v>PA</v>
      </c>
      <c r="E393" s="2">
        <v>0.99151436031331497</v>
      </c>
      <c r="F393" s="2">
        <v>0.989169675090252</v>
      </c>
      <c r="G393" s="2">
        <v>1</v>
      </c>
      <c r="H393" s="2">
        <v>0.99151583710407198</v>
      </c>
    </row>
    <row r="394" spans="1:8" x14ac:dyDescent="0.25">
      <c r="A394" s="1" t="str">
        <f>"19312"</f>
        <v>19312</v>
      </c>
      <c r="B394" s="1" t="str">
        <f>"37964"</f>
        <v>37964</v>
      </c>
      <c r="C394" s="1" t="str">
        <f>"BERWYN"</f>
        <v>BERWYN</v>
      </c>
      <c r="D394" s="1" t="str">
        <f t="shared" si="32"/>
        <v>PA</v>
      </c>
      <c r="E394" s="2">
        <v>8.4856396866840704E-3</v>
      </c>
      <c r="F394" s="2">
        <v>1.08303249097472E-2</v>
      </c>
      <c r="G394" s="2">
        <v>0</v>
      </c>
      <c r="H394" s="2">
        <v>8.4841628959275994E-3</v>
      </c>
    </row>
    <row r="395" spans="1:8" x14ac:dyDescent="0.25">
      <c r="A395" s="1" t="str">
        <f>"19350"</f>
        <v>19350</v>
      </c>
      <c r="B395" s="1" t="str">
        <f>"33874"</f>
        <v>33874</v>
      </c>
      <c r="C395" s="1" t="str">
        <f>"LANDENBERG"</f>
        <v>LANDENBERG</v>
      </c>
      <c r="D395" s="1" t="str">
        <f t="shared" si="32"/>
        <v>PA</v>
      </c>
      <c r="E395" s="2">
        <v>1</v>
      </c>
      <c r="F395" s="2">
        <v>1</v>
      </c>
      <c r="G395" s="2">
        <v>1</v>
      </c>
      <c r="H395" s="2">
        <v>1</v>
      </c>
    </row>
    <row r="396" spans="1:8" x14ac:dyDescent="0.25">
      <c r="A396" s="1" t="str">
        <f>"19473"</f>
        <v>19473</v>
      </c>
      <c r="B396" s="1" t="str">
        <f>"33874"</f>
        <v>33874</v>
      </c>
      <c r="C396" s="1" t="str">
        <f>"SCHWENKSVILLE"</f>
        <v>SCHWENKSVILLE</v>
      </c>
      <c r="D396" s="1" t="str">
        <f t="shared" si="32"/>
        <v>PA</v>
      </c>
      <c r="E396" s="2">
        <v>1</v>
      </c>
      <c r="F396" s="2">
        <v>1</v>
      </c>
      <c r="G396" s="2">
        <v>1</v>
      </c>
      <c r="H396" s="2">
        <v>1</v>
      </c>
    </row>
    <row r="397" spans="1:8" x14ac:dyDescent="0.25">
      <c r="A397" s="1" t="str">
        <f>"20602"</f>
        <v>20602</v>
      </c>
      <c r="B397" s="1" t="str">
        <f>"47894"</f>
        <v>47894</v>
      </c>
      <c r="C397" s="1" t="str">
        <f>"WALDORF"</f>
        <v>WALDORF</v>
      </c>
      <c r="D397" s="1" t="str">
        <f t="shared" ref="D397:D405" si="33">"MD"</f>
        <v>MD</v>
      </c>
      <c r="E397" s="2">
        <v>1</v>
      </c>
      <c r="F397" s="2">
        <v>1</v>
      </c>
      <c r="G397" s="2">
        <v>1</v>
      </c>
      <c r="H397" s="2">
        <v>1</v>
      </c>
    </row>
    <row r="398" spans="1:8" x14ac:dyDescent="0.25">
      <c r="A398" s="1" t="str">
        <f>"20772"</f>
        <v>20772</v>
      </c>
      <c r="B398" s="1" t="str">
        <f>"47894"</f>
        <v>47894</v>
      </c>
      <c r="C398" s="1" t="str">
        <f>"UPPER MARLBORO"</f>
        <v>UPPER MARLBORO</v>
      </c>
      <c r="D398" s="1" t="str">
        <f t="shared" si="33"/>
        <v>MD</v>
      </c>
      <c r="E398" s="2">
        <v>1</v>
      </c>
      <c r="F398" s="2">
        <v>1</v>
      </c>
      <c r="G398" s="2">
        <v>1</v>
      </c>
      <c r="H398" s="2">
        <v>1</v>
      </c>
    </row>
    <row r="399" spans="1:8" x14ac:dyDescent="0.25">
      <c r="A399" s="1" t="str">
        <f>"20781"</f>
        <v>20781</v>
      </c>
      <c r="B399" s="1" t="str">
        <f>"47894"</f>
        <v>47894</v>
      </c>
      <c r="C399" s="1" t="str">
        <f>"HYATTSVILLE"</f>
        <v>HYATTSVILLE</v>
      </c>
      <c r="D399" s="1" t="str">
        <f t="shared" si="33"/>
        <v>MD</v>
      </c>
      <c r="E399" s="2">
        <v>1</v>
      </c>
      <c r="F399" s="2">
        <v>1</v>
      </c>
      <c r="G399" s="2">
        <v>1</v>
      </c>
      <c r="H399" s="2">
        <v>1</v>
      </c>
    </row>
    <row r="400" spans="1:8" x14ac:dyDescent="0.25">
      <c r="A400" s="1" t="str">
        <f>"20851"</f>
        <v>20851</v>
      </c>
      <c r="B400" s="1" t="str">
        <f>"23224"</f>
        <v>23224</v>
      </c>
      <c r="C400" s="1" t="str">
        <f>"ROCKVILLE"</f>
        <v>ROCKVILLE</v>
      </c>
      <c r="D400" s="1" t="str">
        <f t="shared" si="33"/>
        <v>MD</v>
      </c>
      <c r="E400" s="2">
        <v>1</v>
      </c>
      <c r="F400" s="2">
        <v>1</v>
      </c>
      <c r="G400" s="2">
        <v>1</v>
      </c>
      <c r="H400" s="2">
        <v>1</v>
      </c>
    </row>
    <row r="401" spans="1:8" x14ac:dyDescent="0.25">
      <c r="A401" s="1" t="str">
        <f>"20837"</f>
        <v>20837</v>
      </c>
      <c r="B401" s="1" t="str">
        <f>"23224"</f>
        <v>23224</v>
      </c>
      <c r="C401" s="1" t="str">
        <f>"POOLESVILLE"</f>
        <v>POOLESVILLE</v>
      </c>
      <c r="D401" s="1" t="str">
        <f t="shared" si="33"/>
        <v>MD</v>
      </c>
      <c r="E401" s="2">
        <v>1</v>
      </c>
      <c r="F401" s="2">
        <v>1</v>
      </c>
      <c r="G401" s="2">
        <v>1</v>
      </c>
      <c r="H401" s="2">
        <v>1</v>
      </c>
    </row>
    <row r="402" spans="1:8" x14ac:dyDescent="0.25">
      <c r="A402" s="1" t="str">
        <f>"20874"</f>
        <v>20874</v>
      </c>
      <c r="B402" s="1" t="str">
        <f>"23224"</f>
        <v>23224</v>
      </c>
      <c r="C402" s="1" t="str">
        <f>"GERMANTOWN"</f>
        <v>GERMANTOWN</v>
      </c>
      <c r="D402" s="1" t="str">
        <f t="shared" si="33"/>
        <v>MD</v>
      </c>
      <c r="E402" s="2">
        <v>1</v>
      </c>
      <c r="F402" s="2">
        <v>1</v>
      </c>
      <c r="G402" s="2">
        <v>1</v>
      </c>
      <c r="H402" s="2">
        <v>1</v>
      </c>
    </row>
    <row r="403" spans="1:8" x14ac:dyDescent="0.25">
      <c r="A403" s="1" t="str">
        <f>"20902"</f>
        <v>20902</v>
      </c>
      <c r="B403" s="1" t="str">
        <f>"23224"</f>
        <v>23224</v>
      </c>
      <c r="C403" s="1" t="str">
        <f>"SILVER SPRING"</f>
        <v>SILVER SPRING</v>
      </c>
      <c r="D403" s="1" t="str">
        <f t="shared" si="33"/>
        <v>MD</v>
      </c>
      <c r="E403" s="2">
        <v>1</v>
      </c>
      <c r="F403" s="2">
        <v>1</v>
      </c>
      <c r="G403" s="2">
        <v>1</v>
      </c>
      <c r="H403" s="2">
        <v>1</v>
      </c>
    </row>
    <row r="404" spans="1:8" x14ac:dyDescent="0.25">
      <c r="A404" s="1" t="str">
        <f>"21778"</f>
        <v>21778</v>
      </c>
      <c r="B404" s="1" t="str">
        <f>"23224"</f>
        <v>23224</v>
      </c>
      <c r="C404" s="1" t="str">
        <f>"ROCKY RIDGE"</f>
        <v>ROCKY RIDGE</v>
      </c>
      <c r="D404" s="1" t="str">
        <f t="shared" si="33"/>
        <v>MD</v>
      </c>
      <c r="E404" s="2">
        <v>1</v>
      </c>
      <c r="F404" s="2">
        <v>1</v>
      </c>
      <c r="G404" s="2">
        <v>0</v>
      </c>
      <c r="H404" s="2">
        <v>1</v>
      </c>
    </row>
    <row r="405" spans="1:8" x14ac:dyDescent="0.25">
      <c r="A405" s="1" t="str">
        <f>"21918"</f>
        <v>21918</v>
      </c>
      <c r="B405" s="1" t="str">
        <f>"48864"</f>
        <v>48864</v>
      </c>
      <c r="C405" s="1" t="str">
        <f>"CONOWINGO"</f>
        <v>CONOWINGO</v>
      </c>
      <c r="D405" s="1" t="str">
        <f t="shared" si="33"/>
        <v>MD</v>
      </c>
      <c r="E405" s="2">
        <v>1</v>
      </c>
      <c r="F405" s="2">
        <v>1</v>
      </c>
      <c r="G405" s="2">
        <v>1</v>
      </c>
      <c r="H405" s="2">
        <v>1</v>
      </c>
    </row>
    <row r="406" spans="1:8" x14ac:dyDescent="0.25">
      <c r="A406" s="1" t="str">
        <f>"22027"</f>
        <v>22027</v>
      </c>
      <c r="B406" s="1" t="str">
        <f>"47894"</f>
        <v>47894</v>
      </c>
      <c r="C406" s="1" t="str">
        <f>"DUNN LORING"</f>
        <v>DUNN LORING</v>
      </c>
      <c r="D406" s="1" t="str">
        <f>"VA"</f>
        <v>VA</v>
      </c>
      <c r="E406" s="2">
        <v>1</v>
      </c>
      <c r="F406" s="2">
        <v>1</v>
      </c>
      <c r="G406" s="2">
        <v>1</v>
      </c>
      <c r="H406" s="2">
        <v>1</v>
      </c>
    </row>
    <row r="407" spans="1:8" x14ac:dyDescent="0.25">
      <c r="A407" s="1" t="str">
        <f>"22304"</f>
        <v>22304</v>
      </c>
      <c r="B407" s="1" t="str">
        <f>"47894"</f>
        <v>47894</v>
      </c>
      <c r="C407" s="1" t="str">
        <f>"ALEXANDRIA"</f>
        <v>ALEXANDRIA</v>
      </c>
      <c r="D407" s="1" t="str">
        <f>"VA"</f>
        <v>VA</v>
      </c>
      <c r="E407" s="2">
        <v>1</v>
      </c>
      <c r="F407" s="2">
        <v>1</v>
      </c>
      <c r="G407" s="2">
        <v>1</v>
      </c>
      <c r="H407" s="2">
        <v>1</v>
      </c>
    </row>
    <row r="408" spans="1:8" x14ac:dyDescent="0.25">
      <c r="A408" s="1" t="str">
        <f>"22553"</f>
        <v>22553</v>
      </c>
      <c r="B408" s="1" t="str">
        <f>"47894"</f>
        <v>47894</v>
      </c>
      <c r="C408" s="1" t="str">
        <f>"SPOTSYLVANIA"</f>
        <v>SPOTSYLVANIA</v>
      </c>
      <c r="D408" s="1" t="str">
        <f>"VA"</f>
        <v>VA</v>
      </c>
      <c r="E408" s="2">
        <v>1</v>
      </c>
      <c r="F408" s="2">
        <v>1</v>
      </c>
      <c r="G408" s="2">
        <v>1</v>
      </c>
      <c r="H408" s="2">
        <v>1</v>
      </c>
    </row>
    <row r="409" spans="1:8" x14ac:dyDescent="0.25">
      <c r="A409" s="1" t="str">
        <f>"22556"</f>
        <v>22556</v>
      </c>
      <c r="B409" s="1" t="str">
        <f>"47894"</f>
        <v>47894</v>
      </c>
      <c r="C409" s="1" t="str">
        <f>"STAFFORD"</f>
        <v>STAFFORD</v>
      </c>
      <c r="D409" s="1" t="str">
        <f>"VA"</f>
        <v>VA</v>
      </c>
      <c r="E409" s="2">
        <v>1</v>
      </c>
      <c r="F409" s="2">
        <v>1</v>
      </c>
      <c r="G409" s="2">
        <v>1</v>
      </c>
      <c r="H409" s="2">
        <v>1</v>
      </c>
    </row>
    <row r="410" spans="1:8" x14ac:dyDescent="0.25">
      <c r="A410" s="1" t="str">
        <f>"33021"</f>
        <v>33021</v>
      </c>
      <c r="B410" s="1" t="str">
        <f>"22744"</f>
        <v>22744</v>
      </c>
      <c r="C410" s="1" t="str">
        <f>"HOLLYWOOD"</f>
        <v>HOLLYWOOD</v>
      </c>
      <c r="D410" s="1" t="str">
        <f t="shared" ref="D410:D420" si="34">"FL"</f>
        <v>FL</v>
      </c>
      <c r="E410" s="2">
        <v>1</v>
      </c>
      <c r="F410" s="2">
        <v>1</v>
      </c>
      <c r="G410" s="2">
        <v>1</v>
      </c>
      <c r="H410" s="2">
        <v>1</v>
      </c>
    </row>
    <row r="411" spans="1:8" x14ac:dyDescent="0.25">
      <c r="A411" s="1" t="str">
        <f>"33017"</f>
        <v>33017</v>
      </c>
      <c r="B411" s="1" t="str">
        <f>"33124"</f>
        <v>33124</v>
      </c>
      <c r="C411" s="1" t="str">
        <f>"HIALEAH"</f>
        <v>HIALEAH</v>
      </c>
      <c r="D411" s="1" t="str">
        <f t="shared" si="34"/>
        <v>FL</v>
      </c>
      <c r="E411" s="2">
        <v>1</v>
      </c>
      <c r="F411" s="2">
        <v>1</v>
      </c>
      <c r="G411" s="2">
        <v>1</v>
      </c>
      <c r="H411" s="2">
        <v>1</v>
      </c>
    </row>
    <row r="412" spans="1:8" x14ac:dyDescent="0.25">
      <c r="A412" s="1" t="str">
        <f>"33411"</f>
        <v>33411</v>
      </c>
      <c r="B412" s="1" t="str">
        <f>"48424"</f>
        <v>48424</v>
      </c>
      <c r="C412" s="1" t="str">
        <f>"WEST PALM BEACH"</f>
        <v>WEST PALM BEACH</v>
      </c>
      <c r="D412" s="1" t="str">
        <f t="shared" si="34"/>
        <v>FL</v>
      </c>
      <c r="E412" s="2">
        <v>1</v>
      </c>
      <c r="F412" s="2">
        <v>1</v>
      </c>
      <c r="G412" s="2">
        <v>1</v>
      </c>
      <c r="H412" s="2">
        <v>1</v>
      </c>
    </row>
    <row r="413" spans="1:8" x14ac:dyDescent="0.25">
      <c r="A413" s="1" t="str">
        <f>"33327"</f>
        <v>33327</v>
      </c>
      <c r="B413" s="1" t="str">
        <f>"22744"</f>
        <v>22744</v>
      </c>
      <c r="C413" s="1" t="str">
        <f>"FORT LAUDERDALE"</f>
        <v>FORT LAUDERDALE</v>
      </c>
      <c r="D413" s="1" t="str">
        <f t="shared" si="34"/>
        <v>FL</v>
      </c>
      <c r="E413" s="2">
        <v>1</v>
      </c>
      <c r="F413" s="2">
        <v>1</v>
      </c>
      <c r="G413" s="2">
        <v>1</v>
      </c>
      <c r="H413" s="2">
        <v>1</v>
      </c>
    </row>
    <row r="414" spans="1:8" x14ac:dyDescent="0.25">
      <c r="A414" s="1" t="str">
        <f>"33176"</f>
        <v>33176</v>
      </c>
      <c r="B414" s="1" t="str">
        <f>"33124"</f>
        <v>33124</v>
      </c>
      <c r="C414" s="1" t="str">
        <f>"MIAMI"</f>
        <v>MIAMI</v>
      </c>
      <c r="D414" s="1" t="str">
        <f t="shared" si="34"/>
        <v>FL</v>
      </c>
      <c r="E414" s="2">
        <v>1</v>
      </c>
      <c r="F414" s="2">
        <v>1</v>
      </c>
      <c r="G414" s="2">
        <v>1</v>
      </c>
      <c r="H414" s="2">
        <v>1</v>
      </c>
    </row>
    <row r="415" spans="1:8" x14ac:dyDescent="0.25">
      <c r="A415" s="1" t="str">
        <f>"33181"</f>
        <v>33181</v>
      </c>
      <c r="B415" s="1" t="str">
        <f>"33124"</f>
        <v>33124</v>
      </c>
      <c r="C415" s="1" t="str">
        <f>"MIAMI"</f>
        <v>MIAMI</v>
      </c>
      <c r="D415" s="1" t="str">
        <f t="shared" si="34"/>
        <v>FL</v>
      </c>
      <c r="E415" s="2">
        <v>1</v>
      </c>
      <c r="F415" s="2">
        <v>1</v>
      </c>
      <c r="G415" s="2">
        <v>1</v>
      </c>
      <c r="H415" s="2">
        <v>1</v>
      </c>
    </row>
    <row r="416" spans="1:8" x14ac:dyDescent="0.25">
      <c r="A416" s="1" t="str">
        <f>"33185"</f>
        <v>33185</v>
      </c>
      <c r="B416" s="1" t="str">
        <f>"33124"</f>
        <v>33124</v>
      </c>
      <c r="C416" s="1" t="str">
        <f>"MIAMI"</f>
        <v>MIAMI</v>
      </c>
      <c r="D416" s="1" t="str">
        <f t="shared" si="34"/>
        <v>FL</v>
      </c>
      <c r="E416" s="2">
        <v>1</v>
      </c>
      <c r="F416" s="2">
        <v>1</v>
      </c>
      <c r="G416" s="2">
        <v>1</v>
      </c>
      <c r="H416" s="2">
        <v>1</v>
      </c>
    </row>
    <row r="417" spans="1:8" x14ac:dyDescent="0.25">
      <c r="A417" s="1" t="str">
        <f>"33152"</f>
        <v>33152</v>
      </c>
      <c r="B417" s="1" t="str">
        <f>"33124"</f>
        <v>33124</v>
      </c>
      <c r="C417" s="1" t="str">
        <f>"MIAMI"</f>
        <v>MIAMI</v>
      </c>
      <c r="D417" s="1" t="str">
        <f t="shared" si="34"/>
        <v>FL</v>
      </c>
      <c r="E417" s="2">
        <v>1</v>
      </c>
      <c r="F417" s="2">
        <v>1</v>
      </c>
      <c r="G417" s="2">
        <v>1</v>
      </c>
      <c r="H417" s="2">
        <v>1</v>
      </c>
    </row>
    <row r="418" spans="1:8" x14ac:dyDescent="0.25">
      <c r="A418" s="1" t="str">
        <f>"33449"</f>
        <v>33449</v>
      </c>
      <c r="B418" s="1" t="str">
        <f>"48424"</f>
        <v>48424</v>
      </c>
      <c r="C418" s="1" t="str">
        <f>"LAKE WORTH"</f>
        <v>LAKE WORTH</v>
      </c>
      <c r="D418" s="1" t="str">
        <f t="shared" si="34"/>
        <v>FL</v>
      </c>
      <c r="E418" s="2">
        <v>1</v>
      </c>
      <c r="F418" s="2">
        <v>1</v>
      </c>
      <c r="G418" s="2">
        <v>1</v>
      </c>
      <c r="H418" s="2">
        <v>1</v>
      </c>
    </row>
    <row r="419" spans="1:8" x14ac:dyDescent="0.25">
      <c r="A419" s="1" t="str">
        <f>"33483"</f>
        <v>33483</v>
      </c>
      <c r="B419" s="1" t="str">
        <f>"48424"</f>
        <v>48424</v>
      </c>
      <c r="C419" s="1" t="str">
        <f>"DELRAY BEACH"</f>
        <v>DELRAY BEACH</v>
      </c>
      <c r="D419" s="1" t="str">
        <f t="shared" si="34"/>
        <v>FL</v>
      </c>
      <c r="E419" s="2">
        <v>1</v>
      </c>
      <c r="F419" s="2">
        <v>1</v>
      </c>
      <c r="G419" s="2">
        <v>1</v>
      </c>
      <c r="H419" s="2">
        <v>1</v>
      </c>
    </row>
    <row r="420" spans="1:8" x14ac:dyDescent="0.25">
      <c r="A420" s="1" t="str">
        <f>"33319"</f>
        <v>33319</v>
      </c>
      <c r="B420" s="1" t="str">
        <f>"22744"</f>
        <v>22744</v>
      </c>
      <c r="C420" s="1" t="str">
        <f>"FORT LAUDERDALE"</f>
        <v>FORT LAUDERDALE</v>
      </c>
      <c r="D420" s="1" t="str">
        <f t="shared" si="34"/>
        <v>FL</v>
      </c>
      <c r="E420" s="2">
        <v>1</v>
      </c>
      <c r="F420" s="2">
        <v>1</v>
      </c>
      <c r="G420" s="2">
        <v>1</v>
      </c>
      <c r="H420" s="2">
        <v>1</v>
      </c>
    </row>
    <row r="421" spans="1:8" x14ac:dyDescent="0.25">
      <c r="A421" s="1" t="str">
        <f>"48046"</f>
        <v>48046</v>
      </c>
      <c r="B421" s="1" t="str">
        <f>"47664"</f>
        <v>47664</v>
      </c>
      <c r="C421" s="1" t="str">
        <f>"MOUNT CLEMENS"</f>
        <v>MOUNT CLEMENS</v>
      </c>
      <c r="D421" s="1" t="str">
        <f t="shared" ref="D421:D429" si="35">"MI"</f>
        <v>MI</v>
      </c>
      <c r="E421" s="2">
        <v>1</v>
      </c>
      <c r="F421" s="2">
        <v>1</v>
      </c>
      <c r="G421" s="2">
        <v>1</v>
      </c>
      <c r="H421" s="2">
        <v>1</v>
      </c>
    </row>
    <row r="422" spans="1:8" x14ac:dyDescent="0.25">
      <c r="A422" s="1" t="str">
        <f>"48350"</f>
        <v>48350</v>
      </c>
      <c r="B422" s="1" t="str">
        <f>"47664"</f>
        <v>47664</v>
      </c>
      <c r="C422" s="1" t="str">
        <f>"DAVISBURG"</f>
        <v>DAVISBURG</v>
      </c>
      <c r="D422" s="1" t="str">
        <f t="shared" si="35"/>
        <v>MI</v>
      </c>
      <c r="E422" s="2">
        <v>1</v>
      </c>
      <c r="F422" s="2">
        <v>1</v>
      </c>
      <c r="G422" s="2">
        <v>1</v>
      </c>
      <c r="H422" s="2">
        <v>1</v>
      </c>
    </row>
    <row r="423" spans="1:8" x14ac:dyDescent="0.25">
      <c r="A423" s="1" t="str">
        <f>"48184"</f>
        <v>48184</v>
      </c>
      <c r="B423" s="1" t="str">
        <f>"19804"</f>
        <v>19804</v>
      </c>
      <c r="C423" s="1" t="str">
        <f>"WAYNE"</f>
        <v>WAYNE</v>
      </c>
      <c r="D423" s="1" t="str">
        <f t="shared" si="35"/>
        <v>MI</v>
      </c>
      <c r="E423" s="2">
        <v>1</v>
      </c>
      <c r="F423" s="2">
        <v>1</v>
      </c>
      <c r="G423" s="2">
        <v>1</v>
      </c>
      <c r="H423" s="2">
        <v>1</v>
      </c>
    </row>
    <row r="424" spans="1:8" x14ac:dyDescent="0.25">
      <c r="A424" s="1" t="str">
        <f>"48461"</f>
        <v>48461</v>
      </c>
      <c r="B424" s="1" t="str">
        <f>"47664"</f>
        <v>47664</v>
      </c>
      <c r="C424" s="1" t="str">
        <f>"NORTH BRANCH"</f>
        <v>NORTH BRANCH</v>
      </c>
      <c r="D424" s="1" t="str">
        <f t="shared" si="35"/>
        <v>MI</v>
      </c>
      <c r="E424" s="2">
        <v>1</v>
      </c>
      <c r="F424" s="2">
        <v>1</v>
      </c>
      <c r="G424" s="2">
        <v>1</v>
      </c>
      <c r="H424" s="2">
        <v>1</v>
      </c>
    </row>
    <row r="425" spans="1:8" x14ac:dyDescent="0.25">
      <c r="A425" s="1" t="str">
        <f>"48393"</f>
        <v>48393</v>
      </c>
      <c r="B425" s="1" t="str">
        <f>"47664"</f>
        <v>47664</v>
      </c>
      <c r="C425" s="1" t="str">
        <f>"WIXOM"</f>
        <v>WIXOM</v>
      </c>
      <c r="D425" s="1" t="str">
        <f t="shared" si="35"/>
        <v>MI</v>
      </c>
      <c r="E425" s="2">
        <v>1</v>
      </c>
      <c r="F425" s="2">
        <v>1</v>
      </c>
      <c r="G425" s="2">
        <v>1</v>
      </c>
      <c r="H425" s="2">
        <v>1</v>
      </c>
    </row>
    <row r="426" spans="1:8" x14ac:dyDescent="0.25">
      <c r="A426" s="1" t="str">
        <f>"48210"</f>
        <v>48210</v>
      </c>
      <c r="B426" s="1" t="str">
        <f>"19804"</f>
        <v>19804</v>
      </c>
      <c r="C426" s="1" t="str">
        <f>"DETROIT"</f>
        <v>DETROIT</v>
      </c>
      <c r="D426" s="1" t="str">
        <f t="shared" si="35"/>
        <v>MI</v>
      </c>
      <c r="E426" s="2">
        <v>1</v>
      </c>
      <c r="F426" s="2">
        <v>1</v>
      </c>
      <c r="G426" s="2">
        <v>1</v>
      </c>
      <c r="H426" s="2">
        <v>1</v>
      </c>
    </row>
    <row r="427" spans="1:8" x14ac:dyDescent="0.25">
      <c r="A427" s="1" t="str">
        <f>"48211"</f>
        <v>48211</v>
      </c>
      <c r="B427" s="1" t="str">
        <f>"19804"</f>
        <v>19804</v>
      </c>
      <c r="C427" s="1" t="str">
        <f>"DETROIT"</f>
        <v>DETROIT</v>
      </c>
      <c r="D427" s="1" t="str">
        <f t="shared" si="35"/>
        <v>MI</v>
      </c>
      <c r="E427" s="2">
        <v>1</v>
      </c>
      <c r="F427" s="2">
        <v>1</v>
      </c>
      <c r="G427" s="2">
        <v>1</v>
      </c>
      <c r="H427" s="2">
        <v>1</v>
      </c>
    </row>
    <row r="428" spans="1:8" x14ac:dyDescent="0.25">
      <c r="A428" s="1" t="str">
        <f>"48225"</f>
        <v>48225</v>
      </c>
      <c r="B428" s="1" t="str">
        <f>"19804"</f>
        <v>19804</v>
      </c>
      <c r="C428" s="1" t="str">
        <f>"HARPER WOODS"</f>
        <v>HARPER WOODS</v>
      </c>
      <c r="D428" s="1" t="str">
        <f t="shared" si="35"/>
        <v>MI</v>
      </c>
      <c r="E428" s="2">
        <v>1</v>
      </c>
      <c r="F428" s="2">
        <v>1</v>
      </c>
      <c r="G428" s="2">
        <v>1</v>
      </c>
      <c r="H428" s="2">
        <v>1</v>
      </c>
    </row>
    <row r="429" spans="1:8" x14ac:dyDescent="0.25">
      <c r="A429" s="1" t="str">
        <f>"48836"</f>
        <v>48836</v>
      </c>
      <c r="B429" s="1" t="str">
        <f>"47664"</f>
        <v>47664</v>
      </c>
      <c r="C429" s="1" t="str">
        <f>"FOWLERVILLE"</f>
        <v>FOWLERVILLE</v>
      </c>
      <c r="D429" s="1" t="str">
        <f t="shared" si="35"/>
        <v>MI</v>
      </c>
      <c r="E429" s="2">
        <v>1</v>
      </c>
      <c r="F429" s="2">
        <v>1</v>
      </c>
      <c r="G429" s="2">
        <v>1</v>
      </c>
      <c r="H429" s="2">
        <v>1</v>
      </c>
    </row>
    <row r="430" spans="1:8" x14ac:dyDescent="0.25">
      <c r="A430" s="1" t="str">
        <f>"53141"</f>
        <v>53141</v>
      </c>
      <c r="B430" s="1" t="str">
        <f>"29404"</f>
        <v>29404</v>
      </c>
      <c r="C430" s="1" t="str">
        <f>"KENOSHA"</f>
        <v>KENOSHA</v>
      </c>
      <c r="D430" s="1" t="str">
        <f>"WI"</f>
        <v>WI</v>
      </c>
      <c r="E430" s="2">
        <v>1</v>
      </c>
      <c r="F430" s="2">
        <v>1</v>
      </c>
      <c r="G430" s="2">
        <v>1</v>
      </c>
      <c r="H430" s="2">
        <v>1</v>
      </c>
    </row>
    <row r="431" spans="1:8" x14ac:dyDescent="0.25">
      <c r="A431" s="1" t="str">
        <f>"60432"</f>
        <v>60432</v>
      </c>
      <c r="B431" s="1" t="str">
        <f>"16984"</f>
        <v>16984</v>
      </c>
      <c r="C431" s="1" t="str">
        <f>"JOLIET"</f>
        <v>JOLIET</v>
      </c>
      <c r="D431" s="1" t="str">
        <f t="shared" ref="D431:D437" si="36">"IL"</f>
        <v>IL</v>
      </c>
      <c r="E431" s="2">
        <v>1</v>
      </c>
      <c r="F431" s="2">
        <v>1</v>
      </c>
      <c r="G431" s="2">
        <v>1</v>
      </c>
      <c r="H431" s="2">
        <v>1</v>
      </c>
    </row>
    <row r="432" spans="1:8" x14ac:dyDescent="0.25">
      <c r="A432" s="1" t="str">
        <f>"60525"</f>
        <v>60525</v>
      </c>
      <c r="B432" s="1" t="str">
        <f>"16984"</f>
        <v>16984</v>
      </c>
      <c r="C432" s="1" t="str">
        <f>"LA GRANGE"</f>
        <v>LA GRANGE</v>
      </c>
      <c r="D432" s="1" t="str">
        <f t="shared" si="36"/>
        <v>IL</v>
      </c>
      <c r="E432" s="2">
        <v>1</v>
      </c>
      <c r="F432" s="2">
        <v>1</v>
      </c>
      <c r="G432" s="2">
        <v>1</v>
      </c>
      <c r="H432" s="2">
        <v>1</v>
      </c>
    </row>
    <row r="433" spans="1:8" x14ac:dyDescent="0.25">
      <c r="A433" s="1" t="str">
        <f>"60047"</f>
        <v>60047</v>
      </c>
      <c r="B433" s="1" t="str">
        <f>"16984"</f>
        <v>16984</v>
      </c>
      <c r="C433" s="1" t="str">
        <f>"LAKE ZURICH"</f>
        <v>LAKE ZURICH</v>
      </c>
      <c r="D433" s="1" t="str">
        <f t="shared" si="36"/>
        <v>IL</v>
      </c>
      <c r="E433" s="2">
        <v>0</v>
      </c>
      <c r="F433" s="2">
        <v>0</v>
      </c>
      <c r="G433" s="2">
        <v>5.3859964093357204E-3</v>
      </c>
      <c r="H433" s="2">
        <v>1.4066676044450599E-4</v>
      </c>
    </row>
    <row r="434" spans="1:8" x14ac:dyDescent="0.25">
      <c r="A434" s="1" t="str">
        <f>"60047"</f>
        <v>60047</v>
      </c>
      <c r="B434" s="1" t="str">
        <f>"29404"</f>
        <v>29404</v>
      </c>
      <c r="C434" s="1" t="str">
        <f>"LAKE ZURICH"</f>
        <v>LAKE ZURICH</v>
      </c>
      <c r="D434" s="1" t="str">
        <f t="shared" si="36"/>
        <v>IL</v>
      </c>
      <c r="E434" s="2">
        <v>1</v>
      </c>
      <c r="F434" s="2">
        <v>1</v>
      </c>
      <c r="G434" s="2">
        <v>0.99461400359066399</v>
      </c>
      <c r="H434" s="2">
        <v>0.999859333239555</v>
      </c>
    </row>
    <row r="435" spans="1:8" x14ac:dyDescent="0.25">
      <c r="A435" s="1" t="str">
        <f>"60042"</f>
        <v>60042</v>
      </c>
      <c r="B435" s="1" t="str">
        <f>"29404"</f>
        <v>29404</v>
      </c>
      <c r="C435" s="1" t="str">
        <f>"ISLAND LAKE"</f>
        <v>ISLAND LAKE</v>
      </c>
      <c r="D435" s="1" t="str">
        <f t="shared" si="36"/>
        <v>IL</v>
      </c>
      <c r="E435" s="2">
        <v>0.50848690591658496</v>
      </c>
      <c r="F435" s="2">
        <v>0.73750000000000004</v>
      </c>
      <c r="G435" s="2">
        <v>0.69863013698630105</v>
      </c>
      <c r="H435" s="2">
        <v>0.52400270453008702</v>
      </c>
    </row>
    <row r="436" spans="1:8" x14ac:dyDescent="0.25">
      <c r="A436" s="1" t="str">
        <f>"60042"</f>
        <v>60042</v>
      </c>
      <c r="B436" s="1" t="str">
        <f>"16984"</f>
        <v>16984</v>
      </c>
      <c r="C436" s="1" t="str">
        <f>"ISLAND LAKE"</f>
        <v>ISLAND LAKE</v>
      </c>
      <c r="D436" s="1" t="str">
        <f t="shared" si="36"/>
        <v>IL</v>
      </c>
      <c r="E436" s="2">
        <v>0.49151309408341398</v>
      </c>
      <c r="F436" s="2">
        <v>0.26250000000000001</v>
      </c>
      <c r="G436" s="2">
        <v>0.301369863013698</v>
      </c>
      <c r="H436" s="2">
        <v>0.47599729546991199</v>
      </c>
    </row>
    <row r="437" spans="1:8" x14ac:dyDescent="0.25">
      <c r="A437" s="1" t="str">
        <f>"60613"</f>
        <v>60613</v>
      </c>
      <c r="B437" s="1" t="str">
        <f>"16984"</f>
        <v>16984</v>
      </c>
      <c r="C437" s="1" t="str">
        <f>"CHICAGO"</f>
        <v>CHICAGO</v>
      </c>
      <c r="D437" s="1" t="str">
        <f t="shared" si="36"/>
        <v>IL</v>
      </c>
      <c r="E437" s="2">
        <v>1</v>
      </c>
      <c r="F437" s="2">
        <v>1</v>
      </c>
      <c r="G437" s="2">
        <v>1</v>
      </c>
      <c r="H437" s="2">
        <v>1</v>
      </c>
    </row>
    <row r="438" spans="1:8" x14ac:dyDescent="0.25">
      <c r="A438" s="1" t="str">
        <f>"75251"</f>
        <v>75251</v>
      </c>
      <c r="B438" s="1" t="str">
        <f>"19124"</f>
        <v>19124</v>
      </c>
      <c r="C438" s="1" t="str">
        <f>"DALLAS"</f>
        <v>DALLAS</v>
      </c>
      <c r="D438" s="1" t="str">
        <f t="shared" ref="D438:D444" si="37">"TX"</f>
        <v>TX</v>
      </c>
      <c r="E438" s="2">
        <v>1</v>
      </c>
      <c r="F438" s="2">
        <v>1</v>
      </c>
      <c r="G438" s="2">
        <v>1</v>
      </c>
      <c r="H438" s="2">
        <v>1</v>
      </c>
    </row>
    <row r="439" spans="1:8" x14ac:dyDescent="0.25">
      <c r="A439" s="1" t="str">
        <f>"75088"</f>
        <v>75088</v>
      </c>
      <c r="B439" s="1" t="str">
        <f>"19124"</f>
        <v>19124</v>
      </c>
      <c r="C439" s="1" t="str">
        <f>"ROWLETT"</f>
        <v>ROWLETT</v>
      </c>
      <c r="D439" s="1" t="str">
        <f t="shared" si="37"/>
        <v>TX</v>
      </c>
      <c r="E439" s="2">
        <v>1</v>
      </c>
      <c r="F439" s="2">
        <v>1</v>
      </c>
      <c r="G439" s="2">
        <v>1</v>
      </c>
      <c r="H439" s="2">
        <v>1</v>
      </c>
    </row>
    <row r="440" spans="1:8" x14ac:dyDescent="0.25">
      <c r="A440" s="1" t="str">
        <f>"76093"</f>
        <v>76093</v>
      </c>
      <c r="B440" s="1" t="str">
        <f>"23104"</f>
        <v>23104</v>
      </c>
      <c r="C440" s="1" t="str">
        <f>"RIO VISTA"</f>
        <v>RIO VISTA</v>
      </c>
      <c r="D440" s="1" t="str">
        <f t="shared" si="37"/>
        <v>TX</v>
      </c>
      <c r="E440" s="2">
        <v>1</v>
      </c>
      <c r="F440" s="2">
        <v>1</v>
      </c>
      <c r="G440" s="2">
        <v>1</v>
      </c>
      <c r="H440" s="2">
        <v>1</v>
      </c>
    </row>
    <row r="441" spans="1:8" x14ac:dyDescent="0.25">
      <c r="A441" s="1" t="str">
        <f>"76180"</f>
        <v>76180</v>
      </c>
      <c r="B441" s="1" t="str">
        <f>"23104"</f>
        <v>23104</v>
      </c>
      <c r="C441" s="1" t="str">
        <f>"NORTH RICHLAND HILLS"</f>
        <v>NORTH RICHLAND HILLS</v>
      </c>
      <c r="D441" s="1" t="str">
        <f t="shared" si="37"/>
        <v>TX</v>
      </c>
      <c r="E441" s="2">
        <v>1</v>
      </c>
      <c r="F441" s="2">
        <v>1</v>
      </c>
      <c r="G441" s="2">
        <v>1</v>
      </c>
      <c r="H441" s="2">
        <v>1</v>
      </c>
    </row>
    <row r="442" spans="1:8" x14ac:dyDescent="0.25">
      <c r="A442" s="1" t="str">
        <f>"76208"</f>
        <v>76208</v>
      </c>
      <c r="B442" s="1" t="str">
        <f>"19124"</f>
        <v>19124</v>
      </c>
      <c r="C442" s="1" t="str">
        <f>"DENTON"</f>
        <v>DENTON</v>
      </c>
      <c r="D442" s="1" t="str">
        <f t="shared" si="37"/>
        <v>TX</v>
      </c>
      <c r="E442" s="2">
        <v>1</v>
      </c>
      <c r="F442" s="2">
        <v>1</v>
      </c>
      <c r="G442" s="2">
        <v>1</v>
      </c>
      <c r="H442" s="2">
        <v>1</v>
      </c>
    </row>
    <row r="443" spans="1:8" x14ac:dyDescent="0.25">
      <c r="A443" s="1" t="str">
        <f>"76155"</f>
        <v>76155</v>
      </c>
      <c r="B443" s="1" t="str">
        <f>"23104"</f>
        <v>23104</v>
      </c>
      <c r="C443" s="1" t="str">
        <f>"FORT WORTH"</f>
        <v>FORT WORTH</v>
      </c>
      <c r="D443" s="1" t="str">
        <f t="shared" si="37"/>
        <v>TX</v>
      </c>
      <c r="E443" s="2">
        <v>1</v>
      </c>
      <c r="F443" s="2">
        <v>1</v>
      </c>
      <c r="G443" s="2">
        <v>1</v>
      </c>
      <c r="H443" s="2">
        <v>1</v>
      </c>
    </row>
    <row r="444" spans="1:8" x14ac:dyDescent="0.25">
      <c r="A444" s="1" t="str">
        <f>"76426"</f>
        <v>76426</v>
      </c>
      <c r="B444" s="1" t="str">
        <f>"23104"</f>
        <v>23104</v>
      </c>
      <c r="C444" s="1" t="str">
        <f>"BRIDGEPORT"</f>
        <v>BRIDGEPORT</v>
      </c>
      <c r="D444" s="1" t="str">
        <f t="shared" si="37"/>
        <v>TX</v>
      </c>
      <c r="E444" s="2">
        <v>1</v>
      </c>
      <c r="F444" s="2">
        <v>1</v>
      </c>
      <c r="G444" s="2">
        <v>1</v>
      </c>
      <c r="H444" s="2">
        <v>1</v>
      </c>
    </row>
    <row r="445" spans="1:8" x14ac:dyDescent="0.25">
      <c r="A445" s="1" t="str">
        <f>"90044"</f>
        <v>90044</v>
      </c>
      <c r="B445" s="1" t="str">
        <f t="shared" ref="B445:B453" si="38">"31084"</f>
        <v>31084</v>
      </c>
      <c r="C445" s="1" t="str">
        <f>"LOS ANGELES"</f>
        <v>LOS ANGELES</v>
      </c>
      <c r="D445" s="1" t="str">
        <f t="shared" ref="D445:D466" si="39">"CA"</f>
        <v>CA</v>
      </c>
      <c r="E445" s="2">
        <v>1</v>
      </c>
      <c r="F445" s="2">
        <v>1</v>
      </c>
      <c r="G445" s="2">
        <v>1</v>
      </c>
      <c r="H445" s="2">
        <v>1</v>
      </c>
    </row>
    <row r="446" spans="1:8" x14ac:dyDescent="0.25">
      <c r="A446" s="1" t="str">
        <f>"90813"</f>
        <v>90813</v>
      </c>
      <c r="B446" s="1" t="str">
        <f t="shared" si="38"/>
        <v>31084</v>
      </c>
      <c r="C446" s="1" t="str">
        <f>"LONG BEACH"</f>
        <v>LONG BEACH</v>
      </c>
      <c r="D446" s="1" t="str">
        <f t="shared" si="39"/>
        <v>CA</v>
      </c>
      <c r="E446" s="2">
        <v>1</v>
      </c>
      <c r="F446" s="2">
        <v>1</v>
      </c>
      <c r="G446" s="2">
        <v>1</v>
      </c>
      <c r="H446" s="2">
        <v>1</v>
      </c>
    </row>
    <row r="447" spans="1:8" x14ac:dyDescent="0.25">
      <c r="A447" s="1" t="str">
        <f>"90710"</f>
        <v>90710</v>
      </c>
      <c r="B447" s="1" t="str">
        <f t="shared" si="38"/>
        <v>31084</v>
      </c>
      <c r="C447" s="1" t="str">
        <f>"HARBOR CITY"</f>
        <v>HARBOR CITY</v>
      </c>
      <c r="D447" s="1" t="str">
        <f t="shared" si="39"/>
        <v>CA</v>
      </c>
      <c r="E447" s="2">
        <v>1</v>
      </c>
      <c r="F447" s="2">
        <v>1</v>
      </c>
      <c r="G447" s="2">
        <v>1</v>
      </c>
      <c r="H447" s="2">
        <v>1</v>
      </c>
    </row>
    <row r="448" spans="1:8" x14ac:dyDescent="0.25">
      <c r="A448" s="1" t="str">
        <f>"90403"</f>
        <v>90403</v>
      </c>
      <c r="B448" s="1" t="str">
        <f t="shared" si="38"/>
        <v>31084</v>
      </c>
      <c r="C448" s="1" t="str">
        <f>"SANTA MONICA"</f>
        <v>SANTA MONICA</v>
      </c>
      <c r="D448" s="1" t="str">
        <f t="shared" si="39"/>
        <v>CA</v>
      </c>
      <c r="E448" s="2">
        <v>1</v>
      </c>
      <c r="F448" s="2">
        <v>1</v>
      </c>
      <c r="G448" s="2">
        <v>1</v>
      </c>
      <c r="H448" s="2">
        <v>1</v>
      </c>
    </row>
    <row r="449" spans="1:8" x14ac:dyDescent="0.25">
      <c r="A449" s="1" t="str">
        <f>"91401"</f>
        <v>91401</v>
      </c>
      <c r="B449" s="1" t="str">
        <f t="shared" si="38"/>
        <v>31084</v>
      </c>
      <c r="C449" s="1" t="str">
        <f>"VAN NUYS"</f>
        <v>VAN NUYS</v>
      </c>
      <c r="D449" s="1" t="str">
        <f t="shared" si="39"/>
        <v>CA</v>
      </c>
      <c r="E449" s="2">
        <v>1</v>
      </c>
      <c r="F449" s="2">
        <v>1</v>
      </c>
      <c r="G449" s="2">
        <v>1</v>
      </c>
      <c r="H449" s="2">
        <v>1</v>
      </c>
    </row>
    <row r="450" spans="1:8" x14ac:dyDescent="0.25">
      <c r="A450" s="1" t="str">
        <f>"91402"</f>
        <v>91402</v>
      </c>
      <c r="B450" s="1" t="str">
        <f t="shared" si="38"/>
        <v>31084</v>
      </c>
      <c r="C450" s="1" t="str">
        <f>"PANORAMA CITY"</f>
        <v>PANORAMA CITY</v>
      </c>
      <c r="D450" s="1" t="str">
        <f t="shared" si="39"/>
        <v>CA</v>
      </c>
      <c r="E450" s="2">
        <v>1</v>
      </c>
      <c r="F450" s="2">
        <v>1</v>
      </c>
      <c r="G450" s="2">
        <v>1</v>
      </c>
      <c r="H450" s="2">
        <v>1</v>
      </c>
    </row>
    <row r="451" spans="1:8" x14ac:dyDescent="0.25">
      <c r="A451" s="1" t="str">
        <f>"91393"</f>
        <v>91393</v>
      </c>
      <c r="B451" s="1" t="str">
        <f t="shared" si="38"/>
        <v>31084</v>
      </c>
      <c r="C451" s="1" t="str">
        <f>"NORTH HILLS"</f>
        <v>NORTH HILLS</v>
      </c>
      <c r="D451" s="1" t="str">
        <f t="shared" si="39"/>
        <v>CA</v>
      </c>
      <c r="E451" s="2">
        <v>1</v>
      </c>
      <c r="F451" s="2">
        <v>1</v>
      </c>
      <c r="G451" s="2">
        <v>1</v>
      </c>
      <c r="H451" s="2">
        <v>1</v>
      </c>
    </row>
    <row r="452" spans="1:8" x14ac:dyDescent="0.25">
      <c r="A452" s="1" t="str">
        <f>"91396"</f>
        <v>91396</v>
      </c>
      <c r="B452" s="1" t="str">
        <f t="shared" si="38"/>
        <v>31084</v>
      </c>
      <c r="C452" s="1" t="str">
        <f>"WINNETKA"</f>
        <v>WINNETKA</v>
      </c>
      <c r="D452" s="1" t="str">
        <f t="shared" si="39"/>
        <v>CA</v>
      </c>
      <c r="E452" s="2">
        <v>1</v>
      </c>
      <c r="F452" s="2">
        <v>1</v>
      </c>
      <c r="G452" s="2">
        <v>1</v>
      </c>
      <c r="H452" s="2">
        <v>1</v>
      </c>
    </row>
    <row r="453" spans="1:8" x14ac:dyDescent="0.25">
      <c r="A453" s="1" t="str">
        <f>"90755"</f>
        <v>90755</v>
      </c>
      <c r="B453" s="1" t="str">
        <f t="shared" si="38"/>
        <v>31084</v>
      </c>
      <c r="C453" s="1" t="str">
        <f>"SIGNAL HILL"</f>
        <v>SIGNAL HILL</v>
      </c>
      <c r="D453" s="1" t="str">
        <f t="shared" si="39"/>
        <v>CA</v>
      </c>
      <c r="E453" s="2">
        <v>1</v>
      </c>
      <c r="F453" s="2">
        <v>1</v>
      </c>
      <c r="G453" s="2">
        <v>1</v>
      </c>
      <c r="H453" s="2">
        <v>1</v>
      </c>
    </row>
    <row r="454" spans="1:8" x14ac:dyDescent="0.25">
      <c r="A454" s="1" t="str">
        <f>"92812"</f>
        <v>92812</v>
      </c>
      <c r="B454" s="1" t="str">
        <f>"11244"</f>
        <v>11244</v>
      </c>
      <c r="C454" s="1" t="str">
        <f>"ANAHEIM"</f>
        <v>ANAHEIM</v>
      </c>
      <c r="D454" s="1" t="str">
        <f t="shared" si="39"/>
        <v>CA</v>
      </c>
      <c r="E454" s="2">
        <v>1</v>
      </c>
      <c r="F454" s="2">
        <v>1</v>
      </c>
      <c r="G454" s="2">
        <v>1</v>
      </c>
      <c r="H454" s="2">
        <v>1</v>
      </c>
    </row>
    <row r="455" spans="1:8" x14ac:dyDescent="0.25">
      <c r="A455" s="1" t="str">
        <f>"94025"</f>
        <v>94025</v>
      </c>
      <c r="B455" s="1" t="str">
        <f>"41884"</f>
        <v>41884</v>
      </c>
      <c r="C455" s="1" t="str">
        <f>"MENLO PARK"</f>
        <v>MENLO PARK</v>
      </c>
      <c r="D455" s="1" t="str">
        <f t="shared" si="39"/>
        <v>CA</v>
      </c>
      <c r="E455" s="2">
        <v>1</v>
      </c>
      <c r="F455" s="2">
        <v>1</v>
      </c>
      <c r="G455" s="2">
        <v>1</v>
      </c>
      <c r="H455" s="2">
        <v>1</v>
      </c>
    </row>
    <row r="456" spans="1:8" x14ac:dyDescent="0.25">
      <c r="A456" s="1" t="str">
        <f>"92677"</f>
        <v>92677</v>
      </c>
      <c r="B456" s="1" t="str">
        <f>"11244"</f>
        <v>11244</v>
      </c>
      <c r="C456" s="1" t="str">
        <f>"LAGUNA NIGUEL"</f>
        <v>LAGUNA NIGUEL</v>
      </c>
      <c r="D456" s="1" t="str">
        <f t="shared" si="39"/>
        <v>CA</v>
      </c>
      <c r="E456" s="2">
        <v>1</v>
      </c>
      <c r="F456" s="2">
        <v>1</v>
      </c>
      <c r="G456" s="2">
        <v>1</v>
      </c>
      <c r="H456" s="2">
        <v>1</v>
      </c>
    </row>
    <row r="457" spans="1:8" x14ac:dyDescent="0.25">
      <c r="A457" s="1" t="str">
        <f>"92691"</f>
        <v>92691</v>
      </c>
      <c r="B457" s="1" t="str">
        <f>"11244"</f>
        <v>11244</v>
      </c>
      <c r="C457" s="1" t="str">
        <f>"MISSION VIEJO"</f>
        <v>MISSION VIEJO</v>
      </c>
      <c r="D457" s="1" t="str">
        <f t="shared" si="39"/>
        <v>CA</v>
      </c>
      <c r="E457" s="2">
        <v>1</v>
      </c>
      <c r="F457" s="2">
        <v>1</v>
      </c>
      <c r="G457" s="2">
        <v>1</v>
      </c>
      <c r="H457" s="2">
        <v>1</v>
      </c>
    </row>
    <row r="458" spans="1:8" x14ac:dyDescent="0.25">
      <c r="A458" s="1" t="str">
        <f>"91208"</f>
        <v>91208</v>
      </c>
      <c r="B458" s="1" t="str">
        <f>"31084"</f>
        <v>31084</v>
      </c>
      <c r="C458" s="1" t="str">
        <f>"GLENDALE"</f>
        <v>GLENDALE</v>
      </c>
      <c r="D458" s="1" t="str">
        <f t="shared" si="39"/>
        <v>CA</v>
      </c>
      <c r="E458" s="2">
        <v>1</v>
      </c>
      <c r="F458" s="2">
        <v>1</v>
      </c>
      <c r="G458" s="2">
        <v>1</v>
      </c>
      <c r="H458" s="2">
        <v>1</v>
      </c>
    </row>
    <row r="459" spans="1:8" x14ac:dyDescent="0.25">
      <c r="A459" s="1" t="str">
        <f>"91723"</f>
        <v>91723</v>
      </c>
      <c r="B459" s="1" t="str">
        <f>"31084"</f>
        <v>31084</v>
      </c>
      <c r="C459" s="1" t="str">
        <f>"COVINA"</f>
        <v>COVINA</v>
      </c>
      <c r="D459" s="1" t="str">
        <f t="shared" si="39"/>
        <v>CA</v>
      </c>
      <c r="E459" s="2">
        <v>1</v>
      </c>
      <c r="F459" s="2">
        <v>1</v>
      </c>
      <c r="G459" s="2">
        <v>1</v>
      </c>
      <c r="H459" s="2">
        <v>1</v>
      </c>
    </row>
    <row r="460" spans="1:8" x14ac:dyDescent="0.25">
      <c r="A460" s="1" t="str">
        <f>"92844"</f>
        <v>92844</v>
      </c>
      <c r="B460" s="1" t="str">
        <f>"11244"</f>
        <v>11244</v>
      </c>
      <c r="C460" s="1" t="str">
        <f>"GARDEN GROVE"</f>
        <v>GARDEN GROVE</v>
      </c>
      <c r="D460" s="1" t="str">
        <f t="shared" si="39"/>
        <v>CA</v>
      </c>
      <c r="E460" s="2">
        <v>1</v>
      </c>
      <c r="F460" s="2">
        <v>1</v>
      </c>
      <c r="G460" s="2">
        <v>1</v>
      </c>
      <c r="H460" s="2">
        <v>1</v>
      </c>
    </row>
    <row r="461" spans="1:8" x14ac:dyDescent="0.25">
      <c r="A461" s="1" t="str">
        <f>"92841"</f>
        <v>92841</v>
      </c>
      <c r="B461" s="1" t="str">
        <f>"11244"</f>
        <v>11244</v>
      </c>
      <c r="C461" s="1" t="str">
        <f>"GARDEN GROVE"</f>
        <v>GARDEN GROVE</v>
      </c>
      <c r="D461" s="1" t="str">
        <f t="shared" si="39"/>
        <v>CA</v>
      </c>
      <c r="E461" s="2">
        <v>1</v>
      </c>
      <c r="F461" s="2">
        <v>1</v>
      </c>
      <c r="G461" s="2">
        <v>1</v>
      </c>
      <c r="H461" s="2">
        <v>1</v>
      </c>
    </row>
    <row r="462" spans="1:8" x14ac:dyDescent="0.25">
      <c r="A462" s="1" t="str">
        <f>"92603"</f>
        <v>92603</v>
      </c>
      <c r="B462" s="1" t="str">
        <f>"11244"</f>
        <v>11244</v>
      </c>
      <c r="C462" s="1" t="str">
        <f>"IRVINE"</f>
        <v>IRVINE</v>
      </c>
      <c r="D462" s="1" t="str">
        <f t="shared" si="39"/>
        <v>CA</v>
      </c>
      <c r="E462" s="2">
        <v>1</v>
      </c>
      <c r="F462" s="2">
        <v>1</v>
      </c>
      <c r="G462" s="2">
        <v>1</v>
      </c>
      <c r="H462" s="2">
        <v>1</v>
      </c>
    </row>
    <row r="463" spans="1:8" x14ac:dyDescent="0.25">
      <c r="A463" s="1" t="str">
        <f>"94525"</f>
        <v>94525</v>
      </c>
      <c r="B463" s="1" t="str">
        <f>"36084"</f>
        <v>36084</v>
      </c>
      <c r="C463" s="1" t="str">
        <f>"CROCKETT"</f>
        <v>CROCKETT</v>
      </c>
      <c r="D463" s="1" t="str">
        <f t="shared" si="39"/>
        <v>CA</v>
      </c>
      <c r="E463" s="2">
        <v>1</v>
      </c>
      <c r="F463" s="2">
        <v>1</v>
      </c>
      <c r="G463" s="2">
        <v>1</v>
      </c>
      <c r="H463" s="2">
        <v>1</v>
      </c>
    </row>
    <row r="464" spans="1:8" x14ac:dyDescent="0.25">
      <c r="A464" s="1" t="str">
        <f>"94550"</f>
        <v>94550</v>
      </c>
      <c r="B464" s="1" t="str">
        <f>"36084"</f>
        <v>36084</v>
      </c>
      <c r="C464" s="1" t="str">
        <f>"LIVERMORE"</f>
        <v>LIVERMORE</v>
      </c>
      <c r="D464" s="1" t="str">
        <f t="shared" si="39"/>
        <v>CA</v>
      </c>
      <c r="E464" s="2">
        <v>1</v>
      </c>
      <c r="F464" s="2">
        <v>1</v>
      </c>
      <c r="G464" s="2">
        <v>1</v>
      </c>
      <c r="H464" s="2">
        <v>1</v>
      </c>
    </row>
    <row r="465" spans="1:8" x14ac:dyDescent="0.25">
      <c r="A465" s="1" t="str">
        <f>"94801"</f>
        <v>94801</v>
      </c>
      <c r="B465" s="1" t="str">
        <f>"36084"</f>
        <v>36084</v>
      </c>
      <c r="C465" s="1" t="str">
        <f>"RICHMOND"</f>
        <v>RICHMOND</v>
      </c>
      <c r="D465" s="1" t="str">
        <f t="shared" si="39"/>
        <v>CA</v>
      </c>
      <c r="E465" s="2">
        <v>1</v>
      </c>
      <c r="F465" s="2">
        <v>1</v>
      </c>
      <c r="G465" s="2">
        <v>1</v>
      </c>
      <c r="H465" s="2">
        <v>1</v>
      </c>
    </row>
    <row r="466" spans="1:8" x14ac:dyDescent="0.25">
      <c r="A466" s="1" t="str">
        <f>"94610"</f>
        <v>94610</v>
      </c>
      <c r="B466" s="1" t="str">
        <f>"36084"</f>
        <v>36084</v>
      </c>
      <c r="C466" s="1" t="str">
        <f>"OAKLAND"</f>
        <v>OAKLAND</v>
      </c>
      <c r="D466" s="1" t="str">
        <f t="shared" si="39"/>
        <v>CA</v>
      </c>
      <c r="E466" s="2">
        <v>1</v>
      </c>
      <c r="F466" s="2">
        <v>1</v>
      </c>
      <c r="G466" s="2">
        <v>1</v>
      </c>
      <c r="H466" s="2">
        <v>1</v>
      </c>
    </row>
    <row r="467" spans="1:8" x14ac:dyDescent="0.25">
      <c r="A467" s="1" t="str">
        <f>"98010"</f>
        <v>98010</v>
      </c>
      <c r="B467" s="1" t="str">
        <f>"42644"</f>
        <v>42644</v>
      </c>
      <c r="C467" s="1" t="str">
        <f>"BLACK DIAMOND"</f>
        <v>BLACK DIAMOND</v>
      </c>
      <c r="D467" s="1" t="str">
        <f>"WA"</f>
        <v>WA</v>
      </c>
      <c r="E467" s="2">
        <v>1</v>
      </c>
      <c r="F467" s="2">
        <v>1</v>
      </c>
      <c r="G467" s="2">
        <v>1</v>
      </c>
      <c r="H467" s="2">
        <v>1</v>
      </c>
    </row>
    <row r="468" spans="1:8" x14ac:dyDescent="0.25">
      <c r="A468" s="1" t="str">
        <f>"98388"</f>
        <v>98388</v>
      </c>
      <c r="B468" s="1" t="str">
        <f>"45104"</f>
        <v>45104</v>
      </c>
      <c r="C468" s="1" t="str">
        <f>"STEILACOOM"</f>
        <v>STEILACOOM</v>
      </c>
      <c r="D468" s="1" t="str">
        <f>"WA"</f>
        <v>WA</v>
      </c>
      <c r="E468" s="2">
        <v>1</v>
      </c>
      <c r="F468" s="2">
        <v>1</v>
      </c>
      <c r="G468" s="2">
        <v>1</v>
      </c>
      <c r="H468" s="2">
        <v>1</v>
      </c>
    </row>
    <row r="469" spans="1:8" x14ac:dyDescent="0.25">
      <c r="A469" s="1" t="str">
        <f>"98407"</f>
        <v>98407</v>
      </c>
      <c r="B469" s="1" t="str">
        <f>"45104"</f>
        <v>45104</v>
      </c>
      <c r="C469" s="1" t="str">
        <f>"TACOMA"</f>
        <v>TACOMA</v>
      </c>
      <c r="D469" s="1" t="str">
        <f>"WA"</f>
        <v>WA</v>
      </c>
      <c r="E469" s="2">
        <v>1</v>
      </c>
      <c r="F469" s="2">
        <v>1</v>
      </c>
      <c r="G469" s="2">
        <v>1</v>
      </c>
      <c r="H469" s="2">
        <v>1</v>
      </c>
    </row>
    <row r="470" spans="1:8" x14ac:dyDescent="0.25">
      <c r="A470" s="1" t="str">
        <f>"07512"</f>
        <v>07512</v>
      </c>
      <c r="B470" s="1" t="str">
        <f>"35614"</f>
        <v>35614</v>
      </c>
      <c r="C470" s="1" t="str">
        <f>"TOTOWA"</f>
        <v>TOTOWA</v>
      </c>
      <c r="D470" s="1" t="str">
        <f>"NJ"</f>
        <v>NJ</v>
      </c>
      <c r="E470" s="2">
        <v>1</v>
      </c>
      <c r="F470" s="2">
        <v>1</v>
      </c>
      <c r="G470" s="2">
        <v>1</v>
      </c>
      <c r="H470" s="2">
        <v>1</v>
      </c>
    </row>
    <row r="471" spans="1:8" x14ac:dyDescent="0.25">
      <c r="A471" s="1" t="str">
        <f>"10511"</f>
        <v>10511</v>
      </c>
      <c r="B471" s="1" t="str">
        <f>"35614"</f>
        <v>35614</v>
      </c>
      <c r="C471" s="1" t="str">
        <f>"BUCHANAN"</f>
        <v>BUCHANAN</v>
      </c>
      <c r="D471" s="1" t="str">
        <f>"NY"</f>
        <v>NY</v>
      </c>
      <c r="E471" s="2">
        <v>1</v>
      </c>
      <c r="F471" s="2">
        <v>1</v>
      </c>
      <c r="G471" s="2">
        <v>1</v>
      </c>
      <c r="H471" s="2">
        <v>1</v>
      </c>
    </row>
    <row r="472" spans="1:8" x14ac:dyDescent="0.25">
      <c r="A472" s="1" t="str">
        <f>"10588"</f>
        <v>10588</v>
      </c>
      <c r="B472" s="1" t="str">
        <f>"35614"</f>
        <v>35614</v>
      </c>
      <c r="C472" s="1" t="str">
        <f>"SHRUB OAK"</f>
        <v>SHRUB OAK</v>
      </c>
      <c r="D472" s="1" t="str">
        <f>"NY"</f>
        <v>NY</v>
      </c>
      <c r="E472" s="2">
        <v>1</v>
      </c>
      <c r="F472" s="2">
        <v>1</v>
      </c>
      <c r="G472" s="2">
        <v>1</v>
      </c>
      <c r="H472" s="2">
        <v>1</v>
      </c>
    </row>
    <row r="473" spans="1:8" x14ac:dyDescent="0.25">
      <c r="A473" s="1" t="str">
        <f>"20608"</f>
        <v>20608</v>
      </c>
      <c r="B473" s="1" t="str">
        <f>"47894"</f>
        <v>47894</v>
      </c>
      <c r="C473" s="1" t="str">
        <f>"AQUASCO"</f>
        <v>AQUASCO</v>
      </c>
      <c r="D473" s="1" t="str">
        <f>"MD"</f>
        <v>MD</v>
      </c>
      <c r="E473" s="2">
        <v>1</v>
      </c>
      <c r="F473" s="2">
        <v>1</v>
      </c>
      <c r="G473" s="2">
        <v>1</v>
      </c>
      <c r="H473" s="2">
        <v>1</v>
      </c>
    </row>
    <row r="474" spans="1:8" x14ac:dyDescent="0.25">
      <c r="A474" s="1" t="str">
        <f>"20056"</f>
        <v>20056</v>
      </c>
      <c r="B474" s="1" t="str">
        <f>"47894"</f>
        <v>47894</v>
      </c>
      <c r="C474" s="1" t="str">
        <f>"WASHINGTON"</f>
        <v>WASHINGTON</v>
      </c>
      <c r="D474" s="1" t="str">
        <f>"DC"</f>
        <v>DC</v>
      </c>
      <c r="E474" s="2">
        <v>1</v>
      </c>
      <c r="F474" s="2">
        <v>1</v>
      </c>
      <c r="G474" s="2">
        <v>1</v>
      </c>
      <c r="H474" s="2">
        <v>1</v>
      </c>
    </row>
    <row r="475" spans="1:8" x14ac:dyDescent="0.25">
      <c r="A475" s="1" t="str">
        <f>"20677"</f>
        <v>20677</v>
      </c>
      <c r="B475" s="1" t="str">
        <f>"47894"</f>
        <v>47894</v>
      </c>
      <c r="C475" s="1" t="str">
        <f>"PORT TOBACCO"</f>
        <v>PORT TOBACCO</v>
      </c>
      <c r="D475" s="1" t="str">
        <f>"MD"</f>
        <v>MD</v>
      </c>
      <c r="E475" s="2">
        <v>1</v>
      </c>
      <c r="F475" s="2">
        <v>1</v>
      </c>
      <c r="G475" s="2">
        <v>1</v>
      </c>
      <c r="H475" s="2">
        <v>1</v>
      </c>
    </row>
    <row r="476" spans="1:8" x14ac:dyDescent="0.25">
      <c r="A476" s="1" t="str">
        <f>"33008"</f>
        <v>33008</v>
      </c>
      <c r="B476" s="1" t="str">
        <f>"22744"</f>
        <v>22744</v>
      </c>
      <c r="C476" s="1" t="str">
        <f>"HALLANDALE"</f>
        <v>HALLANDALE</v>
      </c>
      <c r="D476" s="1" t="str">
        <f>"FL"</f>
        <v>FL</v>
      </c>
      <c r="E476" s="2">
        <v>1</v>
      </c>
      <c r="F476" s="2">
        <v>1</v>
      </c>
      <c r="G476" s="2">
        <v>1</v>
      </c>
      <c r="H476" s="2">
        <v>1</v>
      </c>
    </row>
    <row r="477" spans="1:8" x14ac:dyDescent="0.25">
      <c r="A477" s="1" t="str">
        <f>"46391"</f>
        <v>46391</v>
      </c>
      <c r="B477" s="1" t="str">
        <f>"23844"</f>
        <v>23844</v>
      </c>
      <c r="C477" s="1" t="str">
        <f>"WESTVILLE"</f>
        <v>WESTVILLE</v>
      </c>
      <c r="D477" s="1" t="str">
        <f>"IN"</f>
        <v>IN</v>
      </c>
      <c r="E477" s="2">
        <v>1</v>
      </c>
      <c r="F477" s="2">
        <v>1</v>
      </c>
      <c r="G477" s="2">
        <v>1</v>
      </c>
      <c r="H477" s="2">
        <v>1</v>
      </c>
    </row>
    <row r="478" spans="1:8" x14ac:dyDescent="0.25">
      <c r="A478" s="1" t="str">
        <f>"60566"</f>
        <v>60566</v>
      </c>
      <c r="B478" s="1" t="str">
        <f>"16984"</f>
        <v>16984</v>
      </c>
      <c r="C478" s="1" t="str">
        <f>"NAPERVILLE"</f>
        <v>NAPERVILLE</v>
      </c>
      <c r="D478" s="1" t="str">
        <f>"IL"</f>
        <v>IL</v>
      </c>
      <c r="E478" s="2">
        <v>1</v>
      </c>
      <c r="F478" s="2">
        <v>1</v>
      </c>
      <c r="G478" s="2">
        <v>1</v>
      </c>
      <c r="H478" s="2">
        <v>1</v>
      </c>
    </row>
    <row r="479" spans="1:8" x14ac:dyDescent="0.25">
      <c r="A479" s="1" t="str">
        <f>"90742"</f>
        <v>90742</v>
      </c>
      <c r="B479" s="1" t="str">
        <f>"11244"</f>
        <v>11244</v>
      </c>
      <c r="C479" s="1" t="str">
        <f>"SUNSET BEACH"</f>
        <v>SUNSET BEACH</v>
      </c>
      <c r="D479" s="1" t="str">
        <f>"CA"</f>
        <v>CA</v>
      </c>
      <c r="E479" s="2">
        <v>1</v>
      </c>
      <c r="F479" s="2">
        <v>1</v>
      </c>
      <c r="G479" s="2">
        <v>1</v>
      </c>
      <c r="H479" s="2">
        <v>1</v>
      </c>
    </row>
    <row r="480" spans="1:8" x14ac:dyDescent="0.25">
      <c r="A480" s="1" t="str">
        <f>"07754"</f>
        <v>07754</v>
      </c>
      <c r="B480" s="1" t="str">
        <f>"35154"</f>
        <v>35154</v>
      </c>
      <c r="C480" s="1" t="str">
        <f>"NEPTUNE"</f>
        <v>NEPTUNE</v>
      </c>
      <c r="D480" s="1" t="str">
        <f>"NJ"</f>
        <v>NJ</v>
      </c>
      <c r="E480" s="2">
        <v>1</v>
      </c>
      <c r="F480" s="2">
        <v>1</v>
      </c>
      <c r="G480" s="2">
        <v>1</v>
      </c>
      <c r="H480" s="2">
        <v>1</v>
      </c>
    </row>
    <row r="481" spans="1:8" x14ac:dyDescent="0.25">
      <c r="A481" s="1" t="str">
        <f>"90267"</f>
        <v>90267</v>
      </c>
      <c r="B481" s="1" t="str">
        <f>"31084"</f>
        <v>31084</v>
      </c>
      <c r="C481" s="1" t="str">
        <f>"MANHATTAN BEACH"</f>
        <v>MANHATTAN BEACH</v>
      </c>
      <c r="D481" s="1" t="str">
        <f>"CA"</f>
        <v>CA</v>
      </c>
      <c r="E481" s="2">
        <v>1</v>
      </c>
      <c r="F481" s="2">
        <v>1</v>
      </c>
      <c r="G481" s="2">
        <v>1</v>
      </c>
      <c r="H481" s="2">
        <v>1</v>
      </c>
    </row>
    <row r="482" spans="1:8" x14ac:dyDescent="0.25">
      <c r="A482" s="1" t="str">
        <f>"91313"</f>
        <v>91313</v>
      </c>
      <c r="B482" s="1" t="str">
        <f>"31084"</f>
        <v>31084</v>
      </c>
      <c r="C482" s="1" t="str">
        <f>"CHATSWORTH"</f>
        <v>CHATSWORTH</v>
      </c>
      <c r="D482" s="1" t="str">
        <f>"CA"</f>
        <v>CA</v>
      </c>
      <c r="E482" s="2">
        <v>1</v>
      </c>
      <c r="F482" s="2">
        <v>1</v>
      </c>
      <c r="G482" s="2">
        <v>1</v>
      </c>
      <c r="H482" s="2">
        <v>1</v>
      </c>
    </row>
    <row r="483" spans="1:8" x14ac:dyDescent="0.25">
      <c r="A483" s="1" t="str">
        <f>"91043"</f>
        <v>91043</v>
      </c>
      <c r="B483" s="1" t="str">
        <f>"31084"</f>
        <v>31084</v>
      </c>
      <c r="C483" s="1" t="str">
        <f>"TUJUNGA"</f>
        <v>TUJUNGA</v>
      </c>
      <c r="D483" s="1" t="str">
        <f>"CA"</f>
        <v>CA</v>
      </c>
      <c r="E483" s="2">
        <v>1</v>
      </c>
      <c r="F483" s="2">
        <v>1</v>
      </c>
      <c r="G483" s="2">
        <v>1</v>
      </c>
      <c r="H483" s="2">
        <v>1</v>
      </c>
    </row>
    <row r="484" spans="1:8" x14ac:dyDescent="0.25">
      <c r="A484" s="1" t="str">
        <f>"91009"</f>
        <v>91009</v>
      </c>
      <c r="B484" s="1" t="str">
        <f>"31084"</f>
        <v>31084</v>
      </c>
      <c r="C484" s="1" t="str">
        <f>"DUARTE"</f>
        <v>DUARTE</v>
      </c>
      <c r="D484" s="1" t="str">
        <f>"CA"</f>
        <v>CA</v>
      </c>
      <c r="E484" s="2">
        <v>1</v>
      </c>
      <c r="F484" s="2">
        <v>1</v>
      </c>
      <c r="G484" s="2">
        <v>1</v>
      </c>
      <c r="H484" s="2">
        <v>1</v>
      </c>
    </row>
    <row r="485" spans="1:8" x14ac:dyDescent="0.25">
      <c r="A485" s="1" t="str">
        <f>"98195"</f>
        <v>98195</v>
      </c>
      <c r="B485" s="1" t="str">
        <f>"42644"</f>
        <v>42644</v>
      </c>
      <c r="C485" s="1" t="str">
        <f>"SEATTLE"</f>
        <v>SEATTLE</v>
      </c>
      <c r="D485" s="1" t="str">
        <f>"WA"</f>
        <v>WA</v>
      </c>
      <c r="E485" s="2">
        <v>0</v>
      </c>
      <c r="F485" s="2">
        <v>1</v>
      </c>
      <c r="G485" s="2">
        <v>1</v>
      </c>
      <c r="H485" s="2">
        <v>1</v>
      </c>
    </row>
    <row r="486" spans="1:8" x14ac:dyDescent="0.25">
      <c r="A486" s="1" t="str">
        <f>"07902"</f>
        <v>07902</v>
      </c>
      <c r="B486" s="1" t="str">
        <f>"35084"</f>
        <v>35084</v>
      </c>
      <c r="C486" s="1" t="str">
        <f>"SUMMIT"</f>
        <v>SUMMIT</v>
      </c>
      <c r="D486" s="1" t="str">
        <f>"NJ"</f>
        <v>NJ</v>
      </c>
      <c r="E486" s="2">
        <v>1</v>
      </c>
      <c r="F486" s="2">
        <v>1</v>
      </c>
      <c r="G486" s="2">
        <v>1</v>
      </c>
      <c r="H486" s="2">
        <v>1</v>
      </c>
    </row>
    <row r="487" spans="1:8" x14ac:dyDescent="0.25">
      <c r="A487" s="1" t="str">
        <f>"20040"</f>
        <v>20040</v>
      </c>
      <c r="B487" s="1" t="str">
        <f>"47894"</f>
        <v>47894</v>
      </c>
      <c r="C487" s="1" t="str">
        <f>"WASHINGTON"</f>
        <v>WASHINGTON</v>
      </c>
      <c r="D487" s="1" t="str">
        <f>"DC"</f>
        <v>DC</v>
      </c>
      <c r="E487" s="2">
        <v>1</v>
      </c>
      <c r="F487" s="2">
        <v>1</v>
      </c>
      <c r="G487" s="2">
        <v>1</v>
      </c>
      <c r="H487" s="2">
        <v>1</v>
      </c>
    </row>
    <row r="488" spans="1:8" x14ac:dyDescent="0.25">
      <c r="A488" s="1" t="str">
        <f>"08525"</f>
        <v>08525</v>
      </c>
      <c r="B488" s="1" t="str">
        <f>"35154"</f>
        <v>35154</v>
      </c>
      <c r="C488" s="1" t="str">
        <f>"HOPEWELL"</f>
        <v>HOPEWELL</v>
      </c>
      <c r="D488" s="1" t="str">
        <f>"NJ"</f>
        <v>NJ</v>
      </c>
      <c r="E488" s="2">
        <v>4.3795620437956199E-2</v>
      </c>
      <c r="F488" s="2">
        <v>0</v>
      </c>
      <c r="G488" s="2">
        <v>0</v>
      </c>
      <c r="H488" s="2">
        <v>4.2402826855123602E-2</v>
      </c>
    </row>
    <row r="489" spans="1:8" x14ac:dyDescent="0.25">
      <c r="A489" s="1" t="str">
        <f>"08525"</f>
        <v>08525</v>
      </c>
      <c r="B489" s="1" t="str">
        <f>"35084"</f>
        <v>35084</v>
      </c>
      <c r="C489" s="1" t="str">
        <f>"HOPEWELL"</f>
        <v>HOPEWELL</v>
      </c>
      <c r="D489" s="1" t="str">
        <f>"NJ"</f>
        <v>NJ</v>
      </c>
      <c r="E489" s="2">
        <v>0.95620437956204296</v>
      </c>
      <c r="F489" s="2">
        <v>1</v>
      </c>
      <c r="G489" s="2">
        <v>1</v>
      </c>
      <c r="H489" s="2">
        <v>0.95759717314487602</v>
      </c>
    </row>
    <row r="490" spans="1:8" x14ac:dyDescent="0.25">
      <c r="A490" s="1" t="str">
        <f>"10104"</f>
        <v>10104</v>
      </c>
      <c r="B490" s="1" t="str">
        <f>"35614"</f>
        <v>35614</v>
      </c>
      <c r="C490" s="1" t="str">
        <f>"NEW YORK"</f>
        <v>NEW YORK</v>
      </c>
      <c r="D490" s="1" t="str">
        <f>"NY"</f>
        <v>NY</v>
      </c>
      <c r="E490" s="2">
        <v>0</v>
      </c>
      <c r="F490" s="2">
        <v>1</v>
      </c>
      <c r="G490" s="2">
        <v>1</v>
      </c>
      <c r="H490" s="2">
        <v>1</v>
      </c>
    </row>
    <row r="491" spans="1:8" x14ac:dyDescent="0.25">
      <c r="A491" s="1" t="str">
        <f>"10150"</f>
        <v>10150</v>
      </c>
      <c r="B491" s="1" t="str">
        <f>"35614"</f>
        <v>35614</v>
      </c>
      <c r="C491" s="1" t="str">
        <f>"NEW YORK"</f>
        <v>NEW YORK</v>
      </c>
      <c r="D491" s="1" t="str">
        <f>"NY"</f>
        <v>NY</v>
      </c>
      <c r="E491" s="2">
        <v>1</v>
      </c>
      <c r="F491" s="2">
        <v>1</v>
      </c>
      <c r="G491" s="2">
        <v>1</v>
      </c>
      <c r="H491" s="2">
        <v>1</v>
      </c>
    </row>
    <row r="492" spans="1:8" x14ac:dyDescent="0.25">
      <c r="A492" s="1" t="str">
        <f>"20914"</f>
        <v>20914</v>
      </c>
      <c r="B492" s="1" t="str">
        <f>"23224"</f>
        <v>23224</v>
      </c>
      <c r="C492" s="1" t="str">
        <f>"SILVER SPRING"</f>
        <v>SILVER SPRING</v>
      </c>
      <c r="D492" s="1" t="str">
        <f>"MD"</f>
        <v>MD</v>
      </c>
      <c r="E492" s="2">
        <v>1</v>
      </c>
      <c r="F492" s="2">
        <v>1</v>
      </c>
      <c r="G492" s="2">
        <v>1</v>
      </c>
      <c r="H492" s="2">
        <v>1</v>
      </c>
    </row>
    <row r="493" spans="1:8" x14ac:dyDescent="0.25">
      <c r="A493" s="1" t="str">
        <f>"33440"</f>
        <v>33440</v>
      </c>
      <c r="B493" s="1" t="str">
        <f>"48424"</f>
        <v>48424</v>
      </c>
      <c r="C493" s="1" t="str">
        <f>"CLEWISTON"</f>
        <v>CLEWISTON</v>
      </c>
      <c r="D493" s="1" t="str">
        <f>"FL"</f>
        <v>FL</v>
      </c>
      <c r="E493" s="2">
        <v>1</v>
      </c>
      <c r="F493" s="2">
        <v>1</v>
      </c>
      <c r="G493" s="2">
        <v>1</v>
      </c>
      <c r="H493" s="2">
        <v>1</v>
      </c>
    </row>
    <row r="494" spans="1:8" x14ac:dyDescent="0.25">
      <c r="A494" s="1" t="str">
        <f>"48139"</f>
        <v>48139</v>
      </c>
      <c r="B494" s="1" t="str">
        <f>"47664"</f>
        <v>47664</v>
      </c>
      <c r="C494" s="1" t="str">
        <f>"HAMBURG"</f>
        <v>HAMBURG</v>
      </c>
      <c r="D494" s="1" t="str">
        <f>"MI"</f>
        <v>MI</v>
      </c>
      <c r="E494" s="2">
        <v>1</v>
      </c>
      <c r="F494" s="2">
        <v>1</v>
      </c>
      <c r="G494" s="2">
        <v>0</v>
      </c>
      <c r="H494" s="2">
        <v>1</v>
      </c>
    </row>
    <row r="495" spans="1:8" x14ac:dyDescent="0.25">
      <c r="A495" s="1" t="str">
        <f>"94942"</f>
        <v>94942</v>
      </c>
      <c r="B495" s="1" t="str">
        <f>"42034"</f>
        <v>42034</v>
      </c>
      <c r="C495" s="1" t="str">
        <f>"MILL VALLEY"</f>
        <v>MILL VALLEY</v>
      </c>
      <c r="D495" s="1" t="str">
        <f>"CA"</f>
        <v>CA</v>
      </c>
      <c r="E495" s="2">
        <v>1</v>
      </c>
      <c r="F495" s="2">
        <v>1</v>
      </c>
      <c r="G495" s="2">
        <v>1</v>
      </c>
      <c r="H495" s="2">
        <v>1</v>
      </c>
    </row>
    <row r="496" spans="1:8" x14ac:dyDescent="0.25">
      <c r="A496" s="1" t="str">
        <f>"02381"</f>
        <v>02381</v>
      </c>
      <c r="B496" s="1" t="str">
        <f>"14454"</f>
        <v>14454</v>
      </c>
      <c r="C496" s="1" t="str">
        <f>"WHITE HORSE BEACH"</f>
        <v>WHITE HORSE BEACH</v>
      </c>
      <c r="D496" s="1" t="str">
        <f>"MA"</f>
        <v>MA</v>
      </c>
      <c r="E496" s="2">
        <v>0</v>
      </c>
      <c r="F496" s="2">
        <v>0</v>
      </c>
      <c r="G496" s="2">
        <v>1</v>
      </c>
      <c r="H496" s="2">
        <v>1</v>
      </c>
    </row>
    <row r="497" spans="1:8" x14ac:dyDescent="0.25">
      <c r="A497" s="1" t="str">
        <f>"20426"</f>
        <v>20426</v>
      </c>
      <c r="B497" s="1" t="str">
        <f>"47894"</f>
        <v>47894</v>
      </c>
      <c r="C497" s="1" t="str">
        <f>"WASHINGTON"</f>
        <v>WASHINGTON</v>
      </c>
      <c r="D497" s="1" t="str">
        <f>"DC"</f>
        <v>DC</v>
      </c>
      <c r="E497" s="2">
        <v>0</v>
      </c>
      <c r="F497" s="2">
        <v>1</v>
      </c>
      <c r="G497" s="2">
        <v>0</v>
      </c>
      <c r="H497" s="2">
        <v>1</v>
      </c>
    </row>
    <row r="498" spans="1:8" x14ac:dyDescent="0.25">
      <c r="A498" s="1" t="str">
        <f>"19367"</f>
        <v>19367</v>
      </c>
      <c r="B498" s="1" t="str">
        <f>"33874"</f>
        <v>33874</v>
      </c>
      <c r="C498" s="1" t="str">
        <f>"POMEROY"</f>
        <v>POMEROY</v>
      </c>
      <c r="D498" s="1" t="str">
        <f>"PA"</f>
        <v>PA</v>
      </c>
      <c r="E498" s="2">
        <v>0</v>
      </c>
      <c r="F498" s="2">
        <v>1</v>
      </c>
      <c r="G498" s="2">
        <v>0</v>
      </c>
      <c r="H498" s="2">
        <v>1</v>
      </c>
    </row>
    <row r="499" spans="1:8" x14ac:dyDescent="0.25">
      <c r="A499" s="1" t="str">
        <f>"92899"</f>
        <v>92899</v>
      </c>
      <c r="B499" s="1" t="str">
        <f>"11244"</f>
        <v>11244</v>
      </c>
      <c r="C499" s="1" t="str">
        <f>"ANAHEIM"</f>
        <v>ANAHEIM</v>
      </c>
      <c r="D499" s="1" t="str">
        <f>"CA"</f>
        <v>CA</v>
      </c>
      <c r="E499" s="2">
        <v>0</v>
      </c>
      <c r="F499" s="2">
        <v>0</v>
      </c>
      <c r="G499" s="2">
        <v>1</v>
      </c>
      <c r="H499" s="2">
        <v>1</v>
      </c>
    </row>
    <row r="500" spans="1:8" x14ac:dyDescent="0.25">
      <c r="A500" s="1" t="str">
        <f>"11424"</f>
        <v>11424</v>
      </c>
      <c r="B500" s="1" t="str">
        <f>"35614"</f>
        <v>35614</v>
      </c>
      <c r="C500" s="1" t="str">
        <f>"JAMAICA"</f>
        <v>JAMAICA</v>
      </c>
      <c r="D500" s="1" t="str">
        <f>"NY"</f>
        <v>NY</v>
      </c>
      <c r="E500" s="2">
        <v>0</v>
      </c>
      <c r="F500" s="2">
        <v>1</v>
      </c>
      <c r="G500" s="2">
        <v>1</v>
      </c>
      <c r="H500" s="2">
        <v>1</v>
      </c>
    </row>
    <row r="501" spans="1:8" x14ac:dyDescent="0.25">
      <c r="A501" s="1" t="str">
        <f>"60519"</f>
        <v>60519</v>
      </c>
      <c r="B501" s="1" t="str">
        <f>"16984"</f>
        <v>16984</v>
      </c>
      <c r="C501" s="1" t="str">
        <f>"EOLA"</f>
        <v>EOLA</v>
      </c>
      <c r="D501" s="1" t="str">
        <f>"IL"</f>
        <v>IL</v>
      </c>
      <c r="E501" s="2">
        <v>1</v>
      </c>
      <c r="F501" s="2">
        <v>1</v>
      </c>
      <c r="G501" s="2">
        <v>0</v>
      </c>
      <c r="H501" s="2">
        <v>1</v>
      </c>
    </row>
    <row r="502" spans="1:8" x14ac:dyDescent="0.25">
      <c r="A502" s="1" t="str">
        <f>"98191"</f>
        <v>98191</v>
      </c>
      <c r="B502" s="1" t="str">
        <f>"42644"</f>
        <v>42644</v>
      </c>
      <c r="C502" s="1" t="str">
        <f>"SEATTLE"</f>
        <v>SEATTLE</v>
      </c>
      <c r="D502" s="1" t="str">
        <f>"WA"</f>
        <v>WA</v>
      </c>
      <c r="E502" s="2">
        <v>0</v>
      </c>
      <c r="F502" s="2">
        <v>1</v>
      </c>
      <c r="G502" s="2">
        <v>0</v>
      </c>
      <c r="H502" s="2">
        <v>1</v>
      </c>
    </row>
    <row r="503" spans="1:8" x14ac:dyDescent="0.25">
      <c r="A503" s="1" t="str">
        <f>"07877"</f>
        <v>07877</v>
      </c>
      <c r="B503" s="1" t="str">
        <f>"35084"</f>
        <v>35084</v>
      </c>
      <c r="C503" s="1" t="str">
        <f>"SWARTSWOOD"</f>
        <v>SWARTSWOOD</v>
      </c>
      <c r="D503" s="1" t="str">
        <f>"NJ"</f>
        <v>NJ</v>
      </c>
      <c r="E503" s="2">
        <v>0</v>
      </c>
      <c r="F503" s="2">
        <v>0</v>
      </c>
      <c r="G503" s="2">
        <v>1</v>
      </c>
      <c r="H503" s="2">
        <v>1</v>
      </c>
    </row>
    <row r="504" spans="1:8" x14ac:dyDescent="0.25">
      <c r="A504" s="1" t="str">
        <f>"20552"</f>
        <v>20552</v>
      </c>
      <c r="B504" s="1" t="str">
        <f>"47894"</f>
        <v>47894</v>
      </c>
      <c r="C504" s="1" t="str">
        <f>"WASHINGTON"</f>
        <v>WASHINGTON</v>
      </c>
      <c r="D504" s="1" t="str">
        <f>"DC"</f>
        <v>DC</v>
      </c>
      <c r="E504" s="2">
        <v>0</v>
      </c>
      <c r="F504" s="2">
        <v>1</v>
      </c>
      <c r="G504" s="2">
        <v>0</v>
      </c>
      <c r="H504" s="2">
        <v>1</v>
      </c>
    </row>
    <row r="505" spans="1:8" x14ac:dyDescent="0.25">
      <c r="A505" s="1" t="str">
        <f>"07875"</f>
        <v>07875</v>
      </c>
      <c r="B505" s="1" t="str">
        <f>"35084"</f>
        <v>35084</v>
      </c>
      <c r="C505" s="1" t="str">
        <f>"STILLWATER"</f>
        <v>STILLWATER</v>
      </c>
      <c r="D505" s="1" t="str">
        <f>"NJ"</f>
        <v>NJ</v>
      </c>
      <c r="E505" s="2">
        <v>0</v>
      </c>
      <c r="F505" s="2">
        <v>1</v>
      </c>
      <c r="G505" s="2">
        <v>1</v>
      </c>
      <c r="H505" s="2">
        <v>1</v>
      </c>
    </row>
    <row r="506" spans="1:8" x14ac:dyDescent="0.25">
      <c r="A506" s="1" t="str">
        <f>"93599"</f>
        <v>93599</v>
      </c>
      <c r="B506" s="1" t="str">
        <f>"31084"</f>
        <v>31084</v>
      </c>
      <c r="C506" s="1" t="str">
        <f>"PALMDALE"</f>
        <v>PALMDALE</v>
      </c>
      <c r="D506" s="1" t="str">
        <f>"CA"</f>
        <v>CA</v>
      </c>
      <c r="E506" s="2">
        <v>0</v>
      </c>
      <c r="F506" s="2">
        <v>0</v>
      </c>
      <c r="G506" s="2">
        <v>1</v>
      </c>
      <c r="H506" s="2">
        <v>1</v>
      </c>
    </row>
    <row r="507" spans="1:8" x14ac:dyDescent="0.25">
      <c r="A507" s="1" t="str">
        <f>"17555"</f>
        <v>17555</v>
      </c>
      <c r="B507" s="1" t="str">
        <f>"33874"</f>
        <v>33874</v>
      </c>
      <c r="C507" s="1" t="str">
        <f>"NARVON"</f>
        <v>NARVON</v>
      </c>
      <c r="D507" s="1" t="str">
        <f>"PA"</f>
        <v>PA</v>
      </c>
      <c r="E507" s="2">
        <v>1</v>
      </c>
      <c r="F507" s="2">
        <v>1</v>
      </c>
      <c r="G507" s="2">
        <v>0</v>
      </c>
      <c r="H507" s="2">
        <v>1</v>
      </c>
    </row>
    <row r="508" spans="1:8" x14ac:dyDescent="0.25">
      <c r="A508" s="1" t="str">
        <f>"91188"</f>
        <v>91188</v>
      </c>
      <c r="B508" s="1" t="str">
        <f>"31084"</f>
        <v>31084</v>
      </c>
      <c r="C508" s="1" t="str">
        <f>"PASADENA"</f>
        <v>PASADENA</v>
      </c>
      <c r="D508" s="1" t="str">
        <f>"CA"</f>
        <v>CA</v>
      </c>
      <c r="E508" s="2">
        <v>0</v>
      </c>
      <c r="F508" s="2">
        <v>1</v>
      </c>
      <c r="G508" s="2">
        <v>0</v>
      </c>
      <c r="H508" s="2">
        <v>1</v>
      </c>
    </row>
    <row r="509" spans="1:8" x14ac:dyDescent="0.25">
      <c r="A509" s="1" t="str">
        <f>"20392"</f>
        <v>20392</v>
      </c>
      <c r="B509" s="1" t="str">
        <f>"47894"</f>
        <v>47894</v>
      </c>
      <c r="C509" s="1" t="str">
        <f>"WASHINGTON"</f>
        <v>WASHINGTON</v>
      </c>
      <c r="D509" s="1" t="str">
        <f>"DC"</f>
        <v>DC</v>
      </c>
      <c r="E509" s="2">
        <v>0</v>
      </c>
      <c r="F509" s="2">
        <v>1</v>
      </c>
      <c r="G509" s="2">
        <v>0</v>
      </c>
      <c r="H509" s="2">
        <v>1</v>
      </c>
    </row>
    <row r="510" spans="1:8" x14ac:dyDescent="0.25">
      <c r="A510" s="1" t="str">
        <f>"90671"</f>
        <v>90671</v>
      </c>
      <c r="B510" s="1" t="str">
        <f>"31084"</f>
        <v>31084</v>
      </c>
      <c r="C510" s="1" t="str">
        <f>"SANTA FE SPRINGS"</f>
        <v>SANTA FE SPRINGS</v>
      </c>
      <c r="D510" s="1" t="str">
        <f>"CA"</f>
        <v>CA</v>
      </c>
      <c r="E510" s="2">
        <v>0</v>
      </c>
      <c r="F510" s="2">
        <v>0</v>
      </c>
      <c r="G510" s="2">
        <v>1</v>
      </c>
      <c r="H510" s="2">
        <v>1</v>
      </c>
    </row>
    <row r="511" spans="1:8" x14ac:dyDescent="0.25">
      <c r="A511" s="1" t="str">
        <f>"01462"</f>
        <v>01462</v>
      </c>
      <c r="B511" s="1" t="str">
        <f>"15764"</f>
        <v>15764</v>
      </c>
      <c r="C511" s="1" t="str">
        <f>"LUNENBURG"</f>
        <v>LUNENBURG</v>
      </c>
      <c r="D511" s="1" t="str">
        <f>"MA"</f>
        <v>MA</v>
      </c>
      <c r="E511" s="2">
        <v>1</v>
      </c>
      <c r="F511" s="2">
        <v>0</v>
      </c>
      <c r="G511" s="2">
        <v>0</v>
      </c>
      <c r="H511" s="2">
        <v>1</v>
      </c>
    </row>
    <row r="512" spans="1:8" x14ac:dyDescent="0.25">
      <c r="A512" s="1" t="str">
        <f>"19190"</f>
        <v>19190</v>
      </c>
      <c r="B512" s="1" t="str">
        <f>"37964"</f>
        <v>37964</v>
      </c>
      <c r="C512" s="1" t="str">
        <f>"PHILADELPHIA"</f>
        <v>PHILADELPHIA</v>
      </c>
      <c r="D512" s="1" t="str">
        <f>"PA"</f>
        <v>PA</v>
      </c>
      <c r="E512" s="2">
        <v>0</v>
      </c>
      <c r="F512" s="2">
        <v>0</v>
      </c>
      <c r="G512" s="2">
        <v>1</v>
      </c>
      <c r="H512" s="2">
        <v>1</v>
      </c>
    </row>
    <row r="513" spans="1:8" x14ac:dyDescent="0.25">
      <c r="A513" s="1" t="str">
        <f>"18981"</f>
        <v>18981</v>
      </c>
      <c r="B513" s="1" t="str">
        <f>"33874"</f>
        <v>33874</v>
      </c>
      <c r="C513" s="1" t="str">
        <f>"ZIONHILL"</f>
        <v>ZIONHILL</v>
      </c>
      <c r="D513" s="1" t="str">
        <f>"PA"</f>
        <v>PA</v>
      </c>
      <c r="E513" s="2">
        <v>0</v>
      </c>
      <c r="F513" s="2">
        <v>0</v>
      </c>
      <c r="G513" s="2">
        <v>1</v>
      </c>
      <c r="H513" s="2">
        <v>1</v>
      </c>
    </row>
    <row r="514" spans="1:8" x14ac:dyDescent="0.25">
      <c r="A514" s="1" t="str">
        <f>"20203"</f>
        <v>20203</v>
      </c>
      <c r="B514" s="1" t="str">
        <f>"47894"</f>
        <v>47894</v>
      </c>
      <c r="C514" s="1" t="str">
        <f>"WASHINGTON"</f>
        <v>WASHINGTON</v>
      </c>
      <c r="D514" s="1" t="str">
        <f>"DC"</f>
        <v>DC</v>
      </c>
      <c r="E514" s="2">
        <v>0</v>
      </c>
      <c r="F514" s="2">
        <v>1</v>
      </c>
      <c r="G514" s="2">
        <v>0</v>
      </c>
      <c r="H514" s="2">
        <v>1</v>
      </c>
    </row>
    <row r="515" spans="1:8" x14ac:dyDescent="0.25">
      <c r="A515" s="1" t="str">
        <f>"18946"</f>
        <v>18946</v>
      </c>
      <c r="B515" s="1" t="str">
        <f>"33874"</f>
        <v>33874</v>
      </c>
      <c r="C515" s="1" t="str">
        <f>"PINEVILLE"</f>
        <v>PINEVILLE</v>
      </c>
      <c r="D515" s="1" t="str">
        <f>"PA"</f>
        <v>PA</v>
      </c>
      <c r="E515" s="2">
        <v>0</v>
      </c>
      <c r="F515" s="2">
        <v>0</v>
      </c>
      <c r="G515" s="2">
        <v>1</v>
      </c>
      <c r="H515" s="2">
        <v>1</v>
      </c>
    </row>
    <row r="516" spans="1:8" x14ac:dyDescent="0.25">
      <c r="A516" s="1" t="str">
        <f>"01810"</f>
        <v>01810</v>
      </c>
      <c r="B516" s="1" t="str">
        <f>"15764"</f>
        <v>15764</v>
      </c>
      <c r="C516" s="1" t="str">
        <f>"ANDOVER"</f>
        <v>ANDOVER</v>
      </c>
      <c r="D516" s="1" t="str">
        <f>"MA"</f>
        <v>MA</v>
      </c>
      <c r="E516" s="2">
        <v>1</v>
      </c>
      <c r="F516" s="2">
        <v>1</v>
      </c>
      <c r="G516" s="2">
        <v>1</v>
      </c>
      <c r="H516" s="2">
        <v>1</v>
      </c>
    </row>
    <row r="517" spans="1:8" x14ac:dyDescent="0.25">
      <c r="A517" s="1" t="str">
        <f>"02021"</f>
        <v>02021</v>
      </c>
      <c r="B517" s="1" t="str">
        <f>"14454"</f>
        <v>14454</v>
      </c>
      <c r="C517" s="1" t="str">
        <f>"CANTON"</f>
        <v>CANTON</v>
      </c>
      <c r="D517" s="1" t="str">
        <f>"MA"</f>
        <v>MA</v>
      </c>
      <c r="E517" s="2">
        <v>1</v>
      </c>
      <c r="F517" s="2">
        <v>1</v>
      </c>
      <c r="G517" s="2">
        <v>1</v>
      </c>
      <c r="H517" s="2">
        <v>1</v>
      </c>
    </row>
    <row r="518" spans="1:8" x14ac:dyDescent="0.25">
      <c r="A518" s="1" t="str">
        <f>"02121"</f>
        <v>02121</v>
      </c>
      <c r="B518" s="1" t="str">
        <f>"14454"</f>
        <v>14454</v>
      </c>
      <c r="C518" s="1" t="str">
        <f>"DORCHESTER"</f>
        <v>DORCHESTER</v>
      </c>
      <c r="D518" s="1" t="str">
        <f>"MA"</f>
        <v>MA</v>
      </c>
      <c r="E518" s="2">
        <v>1</v>
      </c>
      <c r="F518" s="2">
        <v>1</v>
      </c>
      <c r="G518" s="2">
        <v>1</v>
      </c>
      <c r="H518" s="2">
        <v>1</v>
      </c>
    </row>
    <row r="519" spans="1:8" x14ac:dyDescent="0.25">
      <c r="A519" s="1" t="str">
        <f>"02205"</f>
        <v>02205</v>
      </c>
      <c r="B519" s="1" t="str">
        <f>"14454"</f>
        <v>14454</v>
      </c>
      <c r="C519" s="1" t="str">
        <f>"BOSTON"</f>
        <v>BOSTON</v>
      </c>
      <c r="D519" s="1" t="str">
        <f>"MA"</f>
        <v>MA</v>
      </c>
      <c r="E519" s="2">
        <v>1</v>
      </c>
      <c r="F519" s="2">
        <v>1</v>
      </c>
      <c r="G519" s="2">
        <v>1</v>
      </c>
      <c r="H519" s="2">
        <v>1</v>
      </c>
    </row>
    <row r="520" spans="1:8" x14ac:dyDescent="0.25">
      <c r="A520" s="1" t="str">
        <f>"02421"</f>
        <v>02421</v>
      </c>
      <c r="B520" s="1" t="str">
        <f>"15764"</f>
        <v>15764</v>
      </c>
      <c r="C520" s="1" t="str">
        <f>"LEXINGTON"</f>
        <v>LEXINGTON</v>
      </c>
      <c r="D520" s="1" t="str">
        <f>"MA"</f>
        <v>MA</v>
      </c>
      <c r="E520" s="2">
        <v>1</v>
      </c>
      <c r="F520" s="2">
        <v>1</v>
      </c>
      <c r="G520" s="2">
        <v>1</v>
      </c>
      <c r="H520" s="2">
        <v>1</v>
      </c>
    </row>
    <row r="521" spans="1:8" x14ac:dyDescent="0.25">
      <c r="A521" s="1" t="str">
        <f>"07008"</f>
        <v>07008</v>
      </c>
      <c r="B521" s="1" t="str">
        <f>"35154"</f>
        <v>35154</v>
      </c>
      <c r="C521" s="1" t="str">
        <f>"CARTERET"</f>
        <v>CARTERET</v>
      </c>
      <c r="D521" s="1" t="str">
        <f t="shared" ref="D521:D537" si="40">"NJ"</f>
        <v>NJ</v>
      </c>
      <c r="E521" s="2">
        <v>1</v>
      </c>
      <c r="F521" s="2">
        <v>1</v>
      </c>
      <c r="G521" s="2">
        <v>1</v>
      </c>
      <c r="H521" s="2">
        <v>1</v>
      </c>
    </row>
    <row r="522" spans="1:8" x14ac:dyDescent="0.25">
      <c r="A522" s="1" t="str">
        <f>"07027"</f>
        <v>07027</v>
      </c>
      <c r="B522" s="1" t="str">
        <f>"35084"</f>
        <v>35084</v>
      </c>
      <c r="C522" s="1" t="str">
        <f>"GARWOOD"</f>
        <v>GARWOOD</v>
      </c>
      <c r="D522" s="1" t="str">
        <f t="shared" si="40"/>
        <v>NJ</v>
      </c>
      <c r="E522" s="2">
        <v>1</v>
      </c>
      <c r="F522" s="2">
        <v>1</v>
      </c>
      <c r="G522" s="2">
        <v>1</v>
      </c>
      <c r="H522" s="2">
        <v>1</v>
      </c>
    </row>
    <row r="523" spans="1:8" x14ac:dyDescent="0.25">
      <c r="A523" s="1" t="str">
        <f>"07050"</f>
        <v>07050</v>
      </c>
      <c r="B523" s="1" t="str">
        <f>"35084"</f>
        <v>35084</v>
      </c>
      <c r="C523" s="1" t="str">
        <f>"ORANGE"</f>
        <v>ORANGE</v>
      </c>
      <c r="D523" s="1" t="str">
        <f t="shared" si="40"/>
        <v>NJ</v>
      </c>
      <c r="E523" s="2">
        <v>1</v>
      </c>
      <c r="F523" s="2">
        <v>1</v>
      </c>
      <c r="G523" s="2">
        <v>1</v>
      </c>
      <c r="H523" s="2">
        <v>1</v>
      </c>
    </row>
    <row r="524" spans="1:8" x14ac:dyDescent="0.25">
      <c r="A524" s="1" t="str">
        <f>"07071"</f>
        <v>07071</v>
      </c>
      <c r="B524" s="1" t="str">
        <f>"35614"</f>
        <v>35614</v>
      </c>
      <c r="C524" s="1" t="str">
        <f>"LYNDHURST"</f>
        <v>LYNDHURST</v>
      </c>
      <c r="D524" s="1" t="str">
        <f t="shared" si="40"/>
        <v>NJ</v>
      </c>
      <c r="E524" s="2">
        <v>1</v>
      </c>
      <c r="F524" s="2">
        <v>1</v>
      </c>
      <c r="G524" s="2">
        <v>1</v>
      </c>
      <c r="H524" s="2">
        <v>1</v>
      </c>
    </row>
    <row r="525" spans="1:8" x14ac:dyDescent="0.25">
      <c r="A525" s="1" t="str">
        <f>"07060"</f>
        <v>07060</v>
      </c>
      <c r="B525" s="1" t="str">
        <f>"35084"</f>
        <v>35084</v>
      </c>
      <c r="C525" s="1" t="str">
        <f>"PLAINFIELD"</f>
        <v>PLAINFIELD</v>
      </c>
      <c r="D525" s="1" t="str">
        <f t="shared" si="40"/>
        <v>NJ</v>
      </c>
      <c r="E525" s="2">
        <v>0.60452013573212104</v>
      </c>
      <c r="F525" s="2">
        <v>0.65652467883705201</v>
      </c>
      <c r="G525" s="2">
        <v>0.72419825072886201</v>
      </c>
      <c r="H525" s="2">
        <v>0.61951841811513297</v>
      </c>
    </row>
    <row r="526" spans="1:8" x14ac:dyDescent="0.25">
      <c r="A526" s="1" t="str">
        <f>"07060"</f>
        <v>07060</v>
      </c>
      <c r="B526" s="1" t="str">
        <f>"35154"</f>
        <v>35154</v>
      </c>
      <c r="C526" s="1" t="str">
        <f>"PLAINFIELD"</f>
        <v>PLAINFIELD</v>
      </c>
      <c r="D526" s="1" t="str">
        <f t="shared" si="40"/>
        <v>NJ</v>
      </c>
      <c r="E526" s="2">
        <v>0.39547986426787801</v>
      </c>
      <c r="F526" s="2">
        <v>0.34347532116294699</v>
      </c>
      <c r="G526" s="2">
        <v>0.27580174927113699</v>
      </c>
      <c r="H526" s="2">
        <v>0.38048158188486603</v>
      </c>
    </row>
    <row r="527" spans="1:8" x14ac:dyDescent="0.25">
      <c r="A527" s="1" t="str">
        <f>"07108"</f>
        <v>07108</v>
      </c>
      <c r="B527" s="1" t="str">
        <f>"35084"</f>
        <v>35084</v>
      </c>
      <c r="C527" s="1" t="str">
        <f>"NEWARK"</f>
        <v>NEWARK</v>
      </c>
      <c r="D527" s="1" t="str">
        <f t="shared" si="40"/>
        <v>NJ</v>
      </c>
      <c r="E527" s="2">
        <v>1</v>
      </c>
      <c r="F527" s="2">
        <v>1</v>
      </c>
      <c r="G527" s="2">
        <v>1</v>
      </c>
      <c r="H527" s="2">
        <v>1</v>
      </c>
    </row>
    <row r="528" spans="1:8" x14ac:dyDescent="0.25">
      <c r="A528" s="1" t="str">
        <f>"07442"</f>
        <v>07442</v>
      </c>
      <c r="B528" s="1" t="str">
        <f>"35614"</f>
        <v>35614</v>
      </c>
      <c r="C528" s="1" t="str">
        <f>"POMPTON LAKES"</f>
        <v>POMPTON LAKES</v>
      </c>
      <c r="D528" s="1" t="str">
        <f t="shared" si="40"/>
        <v>NJ</v>
      </c>
      <c r="E528" s="2">
        <v>1</v>
      </c>
      <c r="F528" s="2">
        <v>1</v>
      </c>
      <c r="G528" s="2">
        <v>1</v>
      </c>
      <c r="H528" s="2">
        <v>1</v>
      </c>
    </row>
    <row r="529" spans="1:8" x14ac:dyDescent="0.25">
      <c r="A529" s="1" t="str">
        <f>"07604"</f>
        <v>07604</v>
      </c>
      <c r="B529" s="1" t="str">
        <f>"35614"</f>
        <v>35614</v>
      </c>
      <c r="C529" s="1" t="str">
        <f>"HASBROUCK HEIGHTS"</f>
        <v>HASBROUCK HEIGHTS</v>
      </c>
      <c r="D529" s="1" t="str">
        <f t="shared" si="40"/>
        <v>NJ</v>
      </c>
      <c r="E529" s="2">
        <v>1</v>
      </c>
      <c r="F529" s="2">
        <v>1</v>
      </c>
      <c r="G529" s="2">
        <v>1</v>
      </c>
      <c r="H529" s="2">
        <v>1</v>
      </c>
    </row>
    <row r="530" spans="1:8" x14ac:dyDescent="0.25">
      <c r="A530" s="1" t="str">
        <f>"07677"</f>
        <v>07677</v>
      </c>
      <c r="B530" s="1" t="str">
        <f>"35614"</f>
        <v>35614</v>
      </c>
      <c r="C530" s="1" t="str">
        <f>"WOODCLIFF LAKE"</f>
        <v>WOODCLIFF LAKE</v>
      </c>
      <c r="D530" s="1" t="str">
        <f t="shared" si="40"/>
        <v>NJ</v>
      </c>
      <c r="E530" s="2">
        <v>1</v>
      </c>
      <c r="F530" s="2">
        <v>1</v>
      </c>
      <c r="G530" s="2">
        <v>1</v>
      </c>
      <c r="H530" s="2">
        <v>1</v>
      </c>
    </row>
    <row r="531" spans="1:8" x14ac:dyDescent="0.25">
      <c r="A531" s="1" t="str">
        <f>"07901"</f>
        <v>07901</v>
      </c>
      <c r="B531" s="1" t="str">
        <f>"35084"</f>
        <v>35084</v>
      </c>
      <c r="C531" s="1" t="str">
        <f>"SUMMIT"</f>
        <v>SUMMIT</v>
      </c>
      <c r="D531" s="1" t="str">
        <f t="shared" si="40"/>
        <v>NJ</v>
      </c>
      <c r="E531" s="2">
        <v>1</v>
      </c>
      <c r="F531" s="2">
        <v>1</v>
      </c>
      <c r="G531" s="2">
        <v>1</v>
      </c>
      <c r="H531" s="2">
        <v>1</v>
      </c>
    </row>
    <row r="532" spans="1:8" x14ac:dyDescent="0.25">
      <c r="A532" s="1" t="str">
        <f>"07869"</f>
        <v>07869</v>
      </c>
      <c r="B532" s="1" t="str">
        <f>"35084"</f>
        <v>35084</v>
      </c>
      <c r="C532" s="1" t="str">
        <f>"RANDOLPH"</f>
        <v>RANDOLPH</v>
      </c>
      <c r="D532" s="1" t="str">
        <f t="shared" si="40"/>
        <v>NJ</v>
      </c>
      <c r="E532" s="2">
        <v>1</v>
      </c>
      <c r="F532" s="2">
        <v>1</v>
      </c>
      <c r="G532" s="2">
        <v>1</v>
      </c>
      <c r="H532" s="2">
        <v>1</v>
      </c>
    </row>
    <row r="533" spans="1:8" x14ac:dyDescent="0.25">
      <c r="A533" s="1" t="str">
        <f>"07940"</f>
        <v>07940</v>
      </c>
      <c r="B533" s="1" t="str">
        <f>"35084"</f>
        <v>35084</v>
      </c>
      <c r="C533" s="1" t="str">
        <f>"MADISON"</f>
        <v>MADISON</v>
      </c>
      <c r="D533" s="1" t="str">
        <f t="shared" si="40"/>
        <v>NJ</v>
      </c>
      <c r="E533" s="2">
        <v>1</v>
      </c>
      <c r="F533" s="2">
        <v>1</v>
      </c>
      <c r="G533" s="2">
        <v>1</v>
      </c>
      <c r="H533" s="2">
        <v>1</v>
      </c>
    </row>
    <row r="534" spans="1:8" x14ac:dyDescent="0.25">
      <c r="A534" s="1" t="str">
        <f>"08318"</f>
        <v>08318</v>
      </c>
      <c r="B534" s="1" t="str">
        <f>"48864"</f>
        <v>48864</v>
      </c>
      <c r="C534" s="1" t="str">
        <f>"ELMER"</f>
        <v>ELMER</v>
      </c>
      <c r="D534" s="1" t="str">
        <f t="shared" si="40"/>
        <v>NJ</v>
      </c>
      <c r="E534" s="2">
        <v>1</v>
      </c>
      <c r="F534" s="2">
        <v>1</v>
      </c>
      <c r="G534" s="2">
        <v>1</v>
      </c>
      <c r="H534" s="2">
        <v>1</v>
      </c>
    </row>
    <row r="535" spans="1:8" x14ac:dyDescent="0.25">
      <c r="A535" s="1" t="str">
        <f>"08741"</f>
        <v>08741</v>
      </c>
      <c r="B535" s="1" t="str">
        <f>"35154"</f>
        <v>35154</v>
      </c>
      <c r="C535" s="1" t="str">
        <f>"PINE BEACH"</f>
        <v>PINE BEACH</v>
      </c>
      <c r="D535" s="1" t="str">
        <f t="shared" si="40"/>
        <v>NJ</v>
      </c>
      <c r="E535" s="2">
        <v>1</v>
      </c>
      <c r="F535" s="2">
        <v>1</v>
      </c>
      <c r="G535" s="2">
        <v>1</v>
      </c>
      <c r="H535" s="2">
        <v>1</v>
      </c>
    </row>
    <row r="536" spans="1:8" x14ac:dyDescent="0.25">
      <c r="A536" s="1" t="str">
        <f>"08861"</f>
        <v>08861</v>
      </c>
      <c r="B536" s="1" t="str">
        <f>"35154"</f>
        <v>35154</v>
      </c>
      <c r="C536" s="1" t="str">
        <f>"PERTH AMBOY"</f>
        <v>PERTH AMBOY</v>
      </c>
      <c r="D536" s="1" t="str">
        <f t="shared" si="40"/>
        <v>NJ</v>
      </c>
      <c r="E536" s="2">
        <v>1</v>
      </c>
      <c r="F536" s="2">
        <v>1</v>
      </c>
      <c r="G536" s="2">
        <v>1</v>
      </c>
      <c r="H536" s="2">
        <v>1</v>
      </c>
    </row>
    <row r="537" spans="1:8" x14ac:dyDescent="0.25">
      <c r="A537" s="1" t="str">
        <f>"08848"</f>
        <v>08848</v>
      </c>
      <c r="B537" s="1" t="str">
        <f>"35084"</f>
        <v>35084</v>
      </c>
      <c r="C537" s="1" t="str">
        <f>"MILFORD"</f>
        <v>MILFORD</v>
      </c>
      <c r="D537" s="1" t="str">
        <f t="shared" si="40"/>
        <v>NJ</v>
      </c>
      <c r="E537" s="2">
        <v>1</v>
      </c>
      <c r="F537" s="2">
        <v>1</v>
      </c>
      <c r="G537" s="2">
        <v>1</v>
      </c>
      <c r="H537" s="2">
        <v>1</v>
      </c>
    </row>
    <row r="538" spans="1:8" x14ac:dyDescent="0.25">
      <c r="A538" s="1" t="str">
        <f>"20189"</f>
        <v>20189</v>
      </c>
      <c r="B538" s="1" t="str">
        <f>"47894"</f>
        <v>47894</v>
      </c>
      <c r="C538" s="1" t="str">
        <f>"DULLES"</f>
        <v>DULLES</v>
      </c>
      <c r="D538" s="1" t="str">
        <f>"VA"</f>
        <v>VA</v>
      </c>
      <c r="E538" s="2">
        <v>1</v>
      </c>
      <c r="F538" s="2">
        <v>0</v>
      </c>
      <c r="G538" s="2">
        <v>1</v>
      </c>
      <c r="H538" s="2">
        <v>1</v>
      </c>
    </row>
    <row r="539" spans="1:8" x14ac:dyDescent="0.25">
      <c r="A539" s="1" t="str">
        <f>"10014"</f>
        <v>10014</v>
      </c>
      <c r="B539" s="1" t="str">
        <f t="shared" ref="B539:B549" si="41">"35614"</f>
        <v>35614</v>
      </c>
      <c r="C539" s="1" t="str">
        <f>"NEW YORK"</f>
        <v>NEW YORK</v>
      </c>
      <c r="D539" s="1" t="str">
        <f t="shared" ref="D539:D561" si="42">"NY"</f>
        <v>NY</v>
      </c>
      <c r="E539" s="2">
        <v>1</v>
      </c>
      <c r="F539" s="2">
        <v>1</v>
      </c>
      <c r="G539" s="2">
        <v>1</v>
      </c>
      <c r="H539" s="2">
        <v>1</v>
      </c>
    </row>
    <row r="540" spans="1:8" x14ac:dyDescent="0.25">
      <c r="A540" s="1" t="str">
        <f>"10019"</f>
        <v>10019</v>
      </c>
      <c r="B540" s="1" t="str">
        <f t="shared" si="41"/>
        <v>35614</v>
      </c>
      <c r="C540" s="1" t="str">
        <f>"NEW YORK"</f>
        <v>NEW YORK</v>
      </c>
      <c r="D540" s="1" t="str">
        <f t="shared" si="42"/>
        <v>NY</v>
      </c>
      <c r="E540" s="2">
        <v>1</v>
      </c>
      <c r="F540" s="2">
        <v>1</v>
      </c>
      <c r="G540" s="2">
        <v>1</v>
      </c>
      <c r="H540" s="2">
        <v>1</v>
      </c>
    </row>
    <row r="541" spans="1:8" x14ac:dyDescent="0.25">
      <c r="A541" s="1" t="str">
        <f>"10055"</f>
        <v>10055</v>
      </c>
      <c r="B541" s="1" t="str">
        <f t="shared" si="41"/>
        <v>35614</v>
      </c>
      <c r="C541" s="1" t="str">
        <f>"NEW YORK"</f>
        <v>NEW YORK</v>
      </c>
      <c r="D541" s="1" t="str">
        <f t="shared" si="42"/>
        <v>NY</v>
      </c>
      <c r="E541" s="2">
        <v>0</v>
      </c>
      <c r="F541" s="2">
        <v>1</v>
      </c>
      <c r="G541" s="2">
        <v>1</v>
      </c>
      <c r="H541" s="2">
        <v>1</v>
      </c>
    </row>
    <row r="542" spans="1:8" x14ac:dyDescent="0.25">
      <c r="A542" s="1" t="str">
        <f>"10453"</f>
        <v>10453</v>
      </c>
      <c r="B542" s="1" t="str">
        <f t="shared" si="41"/>
        <v>35614</v>
      </c>
      <c r="C542" s="1" t="str">
        <f>"BRONX"</f>
        <v>BRONX</v>
      </c>
      <c r="D542" s="1" t="str">
        <f t="shared" si="42"/>
        <v>NY</v>
      </c>
      <c r="E542" s="2">
        <v>1</v>
      </c>
      <c r="F542" s="2">
        <v>1</v>
      </c>
      <c r="G542" s="2">
        <v>1</v>
      </c>
      <c r="H542" s="2">
        <v>1</v>
      </c>
    </row>
    <row r="543" spans="1:8" x14ac:dyDescent="0.25">
      <c r="A543" s="1" t="str">
        <f>"10462"</f>
        <v>10462</v>
      </c>
      <c r="B543" s="1" t="str">
        <f t="shared" si="41"/>
        <v>35614</v>
      </c>
      <c r="C543" s="1" t="str">
        <f>"BRONX"</f>
        <v>BRONX</v>
      </c>
      <c r="D543" s="1" t="str">
        <f t="shared" si="42"/>
        <v>NY</v>
      </c>
      <c r="E543" s="2">
        <v>1</v>
      </c>
      <c r="F543" s="2">
        <v>1</v>
      </c>
      <c r="G543" s="2">
        <v>1</v>
      </c>
      <c r="H543" s="2">
        <v>1</v>
      </c>
    </row>
    <row r="544" spans="1:8" x14ac:dyDescent="0.25">
      <c r="A544" s="1" t="str">
        <f>"10471"</f>
        <v>10471</v>
      </c>
      <c r="B544" s="1" t="str">
        <f t="shared" si="41"/>
        <v>35614</v>
      </c>
      <c r="C544" s="1" t="str">
        <f>"BRONX"</f>
        <v>BRONX</v>
      </c>
      <c r="D544" s="1" t="str">
        <f t="shared" si="42"/>
        <v>NY</v>
      </c>
      <c r="E544" s="2">
        <v>1</v>
      </c>
      <c r="F544" s="2">
        <v>1</v>
      </c>
      <c r="G544" s="2">
        <v>1</v>
      </c>
      <c r="H544" s="2">
        <v>1</v>
      </c>
    </row>
    <row r="545" spans="1:8" x14ac:dyDescent="0.25">
      <c r="A545" s="1" t="str">
        <f>"11222"</f>
        <v>11222</v>
      </c>
      <c r="B545" s="1" t="str">
        <f t="shared" si="41"/>
        <v>35614</v>
      </c>
      <c r="C545" s="1" t="str">
        <f>"BROOKLYN"</f>
        <v>BROOKLYN</v>
      </c>
      <c r="D545" s="1" t="str">
        <f t="shared" si="42"/>
        <v>NY</v>
      </c>
      <c r="E545" s="2">
        <v>1</v>
      </c>
      <c r="F545" s="2">
        <v>1</v>
      </c>
      <c r="G545" s="2">
        <v>1</v>
      </c>
      <c r="H545" s="2">
        <v>1</v>
      </c>
    </row>
    <row r="546" spans="1:8" x14ac:dyDescent="0.25">
      <c r="A546" s="1" t="str">
        <f>"11237"</f>
        <v>11237</v>
      </c>
      <c r="B546" s="1" t="str">
        <f t="shared" si="41"/>
        <v>35614</v>
      </c>
      <c r="C546" s="1" t="str">
        <f>"BROOKLYN"</f>
        <v>BROOKLYN</v>
      </c>
      <c r="D546" s="1" t="str">
        <f t="shared" si="42"/>
        <v>NY</v>
      </c>
      <c r="E546" s="2">
        <v>1</v>
      </c>
      <c r="F546" s="2">
        <v>1</v>
      </c>
      <c r="G546" s="2">
        <v>1</v>
      </c>
      <c r="H546" s="2">
        <v>1</v>
      </c>
    </row>
    <row r="547" spans="1:8" x14ac:dyDescent="0.25">
      <c r="A547" s="1" t="str">
        <f>"11367"</f>
        <v>11367</v>
      </c>
      <c r="B547" s="1" t="str">
        <f t="shared" si="41"/>
        <v>35614</v>
      </c>
      <c r="C547" s="1" t="str">
        <f>"FLUSHING"</f>
        <v>FLUSHING</v>
      </c>
      <c r="D547" s="1" t="str">
        <f t="shared" si="42"/>
        <v>NY</v>
      </c>
      <c r="E547" s="2">
        <v>1</v>
      </c>
      <c r="F547" s="2">
        <v>1</v>
      </c>
      <c r="G547" s="2">
        <v>1</v>
      </c>
      <c r="H547" s="2">
        <v>1</v>
      </c>
    </row>
    <row r="548" spans="1:8" x14ac:dyDescent="0.25">
      <c r="A548" s="1" t="str">
        <f>"11368"</f>
        <v>11368</v>
      </c>
      <c r="B548" s="1" t="str">
        <f t="shared" si="41"/>
        <v>35614</v>
      </c>
      <c r="C548" s="1" t="str">
        <f>"CORONA"</f>
        <v>CORONA</v>
      </c>
      <c r="D548" s="1" t="str">
        <f t="shared" si="42"/>
        <v>NY</v>
      </c>
      <c r="E548" s="2">
        <v>1</v>
      </c>
      <c r="F548" s="2">
        <v>1</v>
      </c>
      <c r="G548" s="2">
        <v>1</v>
      </c>
      <c r="H548" s="2">
        <v>1</v>
      </c>
    </row>
    <row r="549" spans="1:8" x14ac:dyDescent="0.25">
      <c r="A549" s="1" t="str">
        <f>"11432"</f>
        <v>11432</v>
      </c>
      <c r="B549" s="1" t="str">
        <f t="shared" si="41"/>
        <v>35614</v>
      </c>
      <c r="C549" s="1" t="str">
        <f>"JAMAICA"</f>
        <v>JAMAICA</v>
      </c>
      <c r="D549" s="1" t="str">
        <f t="shared" si="42"/>
        <v>NY</v>
      </c>
      <c r="E549" s="2">
        <v>1</v>
      </c>
      <c r="F549" s="2">
        <v>1</v>
      </c>
      <c r="G549" s="2">
        <v>1</v>
      </c>
      <c r="H549" s="2">
        <v>1</v>
      </c>
    </row>
    <row r="550" spans="1:8" x14ac:dyDescent="0.25">
      <c r="A550" s="1" t="str">
        <f>"11570"</f>
        <v>11570</v>
      </c>
      <c r="B550" s="1" t="str">
        <f t="shared" ref="B550:B557" si="43">"35004"</f>
        <v>35004</v>
      </c>
      <c r="C550" s="1" t="str">
        <f>"ROCKVILLE CENTRE"</f>
        <v>ROCKVILLE CENTRE</v>
      </c>
      <c r="D550" s="1" t="str">
        <f t="shared" si="42"/>
        <v>NY</v>
      </c>
      <c r="E550" s="2">
        <v>1</v>
      </c>
      <c r="F550" s="2">
        <v>1</v>
      </c>
      <c r="G550" s="2">
        <v>1</v>
      </c>
      <c r="H550" s="2">
        <v>1</v>
      </c>
    </row>
    <row r="551" spans="1:8" x14ac:dyDescent="0.25">
      <c r="A551" s="1" t="str">
        <f>"11575"</f>
        <v>11575</v>
      </c>
      <c r="B551" s="1" t="str">
        <f t="shared" si="43"/>
        <v>35004</v>
      </c>
      <c r="C551" s="1" t="str">
        <f>"ROOSEVELT"</f>
        <v>ROOSEVELT</v>
      </c>
      <c r="D551" s="1" t="str">
        <f t="shared" si="42"/>
        <v>NY</v>
      </c>
      <c r="E551" s="2">
        <v>1</v>
      </c>
      <c r="F551" s="2">
        <v>1</v>
      </c>
      <c r="G551" s="2">
        <v>1</v>
      </c>
      <c r="H551" s="2">
        <v>1</v>
      </c>
    </row>
    <row r="552" spans="1:8" x14ac:dyDescent="0.25">
      <c r="A552" s="1" t="str">
        <f>"11704"</f>
        <v>11704</v>
      </c>
      <c r="B552" s="1" t="str">
        <f t="shared" si="43"/>
        <v>35004</v>
      </c>
      <c r="C552" s="1" t="str">
        <f>"WEST BABYLON"</f>
        <v>WEST BABYLON</v>
      </c>
      <c r="D552" s="1" t="str">
        <f t="shared" si="42"/>
        <v>NY</v>
      </c>
      <c r="E552" s="2">
        <v>1</v>
      </c>
      <c r="F552" s="2">
        <v>1</v>
      </c>
      <c r="G552" s="2">
        <v>1</v>
      </c>
      <c r="H552" s="2">
        <v>1</v>
      </c>
    </row>
    <row r="553" spans="1:8" x14ac:dyDescent="0.25">
      <c r="A553" s="1" t="str">
        <f>"11746"</f>
        <v>11746</v>
      </c>
      <c r="B553" s="1" t="str">
        <f t="shared" si="43"/>
        <v>35004</v>
      </c>
      <c r="C553" s="1" t="str">
        <f>"HUNTINGTON STATION"</f>
        <v>HUNTINGTON STATION</v>
      </c>
      <c r="D553" s="1" t="str">
        <f t="shared" si="42"/>
        <v>NY</v>
      </c>
      <c r="E553" s="2">
        <v>1</v>
      </c>
      <c r="F553" s="2">
        <v>1</v>
      </c>
      <c r="G553" s="2">
        <v>1</v>
      </c>
      <c r="H553" s="2">
        <v>1</v>
      </c>
    </row>
    <row r="554" spans="1:8" x14ac:dyDescent="0.25">
      <c r="A554" s="1" t="str">
        <f>"11749"</f>
        <v>11749</v>
      </c>
      <c r="B554" s="1" t="str">
        <f t="shared" si="43"/>
        <v>35004</v>
      </c>
      <c r="C554" s="1" t="str">
        <f>"ISLANDIA"</f>
        <v>ISLANDIA</v>
      </c>
      <c r="D554" s="1" t="str">
        <f t="shared" si="42"/>
        <v>NY</v>
      </c>
      <c r="E554" s="2">
        <v>1</v>
      </c>
      <c r="F554" s="2">
        <v>1</v>
      </c>
      <c r="G554" s="2">
        <v>1</v>
      </c>
      <c r="H554" s="2">
        <v>1</v>
      </c>
    </row>
    <row r="555" spans="1:8" x14ac:dyDescent="0.25">
      <c r="A555" s="1" t="str">
        <f>"11776"</f>
        <v>11776</v>
      </c>
      <c r="B555" s="1" t="str">
        <f t="shared" si="43"/>
        <v>35004</v>
      </c>
      <c r="C555" s="1" t="str">
        <f>"PORT JEFFERSON STATION"</f>
        <v>PORT JEFFERSON STATION</v>
      </c>
      <c r="D555" s="1" t="str">
        <f t="shared" si="42"/>
        <v>NY</v>
      </c>
      <c r="E555" s="2">
        <v>1</v>
      </c>
      <c r="F555" s="2">
        <v>1</v>
      </c>
      <c r="G555" s="2">
        <v>1</v>
      </c>
      <c r="H555" s="2">
        <v>1</v>
      </c>
    </row>
    <row r="556" spans="1:8" x14ac:dyDescent="0.25">
      <c r="A556" s="1" t="str">
        <f>"11901"</f>
        <v>11901</v>
      </c>
      <c r="B556" s="1" t="str">
        <f t="shared" si="43"/>
        <v>35004</v>
      </c>
      <c r="C556" s="1" t="str">
        <f>"RIVERHEAD"</f>
        <v>RIVERHEAD</v>
      </c>
      <c r="D556" s="1" t="str">
        <f t="shared" si="42"/>
        <v>NY</v>
      </c>
      <c r="E556" s="2">
        <v>1</v>
      </c>
      <c r="F556" s="2">
        <v>1</v>
      </c>
      <c r="G556" s="2">
        <v>1</v>
      </c>
      <c r="H556" s="2">
        <v>1</v>
      </c>
    </row>
    <row r="557" spans="1:8" x14ac:dyDescent="0.25">
      <c r="A557" s="1" t="str">
        <f>"11961"</f>
        <v>11961</v>
      </c>
      <c r="B557" s="1" t="str">
        <f t="shared" si="43"/>
        <v>35004</v>
      </c>
      <c r="C557" s="1" t="str">
        <f>"RIDGE"</f>
        <v>RIDGE</v>
      </c>
      <c r="D557" s="1" t="str">
        <f t="shared" si="42"/>
        <v>NY</v>
      </c>
      <c r="E557" s="2">
        <v>1</v>
      </c>
      <c r="F557" s="2">
        <v>1</v>
      </c>
      <c r="G557" s="2">
        <v>1</v>
      </c>
      <c r="H557" s="2">
        <v>1</v>
      </c>
    </row>
    <row r="558" spans="1:8" x14ac:dyDescent="0.25">
      <c r="A558" s="1" t="str">
        <f>"10566"</f>
        <v>10566</v>
      </c>
      <c r="B558" s="1" t="str">
        <f>"35614"</f>
        <v>35614</v>
      </c>
      <c r="C558" s="1" t="str">
        <f>"PEEKSKILL"</f>
        <v>PEEKSKILL</v>
      </c>
      <c r="D558" s="1" t="str">
        <f t="shared" si="42"/>
        <v>NY</v>
      </c>
      <c r="E558" s="2">
        <v>1</v>
      </c>
      <c r="F558" s="2">
        <v>1</v>
      </c>
      <c r="G558" s="2">
        <v>1</v>
      </c>
      <c r="H558" s="2">
        <v>1</v>
      </c>
    </row>
    <row r="559" spans="1:8" x14ac:dyDescent="0.25">
      <c r="A559" s="1" t="str">
        <f>"10704"</f>
        <v>10704</v>
      </c>
      <c r="B559" s="1" t="str">
        <f>"35614"</f>
        <v>35614</v>
      </c>
      <c r="C559" s="1" t="str">
        <f>"YONKERS"</f>
        <v>YONKERS</v>
      </c>
      <c r="D559" s="1" t="str">
        <f t="shared" si="42"/>
        <v>NY</v>
      </c>
      <c r="E559" s="2">
        <v>1</v>
      </c>
      <c r="F559" s="2">
        <v>1</v>
      </c>
      <c r="G559" s="2">
        <v>1</v>
      </c>
      <c r="H559" s="2">
        <v>1</v>
      </c>
    </row>
    <row r="560" spans="1:8" x14ac:dyDescent="0.25">
      <c r="A560" s="1" t="str">
        <f>"10801"</f>
        <v>10801</v>
      </c>
      <c r="B560" s="1" t="str">
        <f>"35614"</f>
        <v>35614</v>
      </c>
      <c r="C560" s="1" t="str">
        <f>"NEW ROCHELLE"</f>
        <v>NEW ROCHELLE</v>
      </c>
      <c r="D560" s="1" t="str">
        <f t="shared" si="42"/>
        <v>NY</v>
      </c>
      <c r="E560" s="2">
        <v>1</v>
      </c>
      <c r="F560" s="2">
        <v>1</v>
      </c>
      <c r="G560" s="2">
        <v>1</v>
      </c>
      <c r="H560" s="2">
        <v>1</v>
      </c>
    </row>
    <row r="561" spans="1:8" x14ac:dyDescent="0.25">
      <c r="A561" s="1" t="str">
        <f>"10954"</f>
        <v>10954</v>
      </c>
      <c r="B561" s="1" t="str">
        <f>"35614"</f>
        <v>35614</v>
      </c>
      <c r="C561" s="1" t="str">
        <f>"NANUET"</f>
        <v>NANUET</v>
      </c>
      <c r="D561" s="1" t="str">
        <f t="shared" si="42"/>
        <v>NY</v>
      </c>
      <c r="E561" s="2">
        <v>1</v>
      </c>
      <c r="F561" s="2">
        <v>1</v>
      </c>
      <c r="G561" s="2">
        <v>1</v>
      </c>
      <c r="H561" s="2">
        <v>1</v>
      </c>
    </row>
    <row r="562" spans="1:8" x14ac:dyDescent="0.25">
      <c r="A562" s="1" t="str">
        <f>"18938"</f>
        <v>18938</v>
      </c>
      <c r="B562" s="1" t="str">
        <f>"33874"</f>
        <v>33874</v>
      </c>
      <c r="C562" s="1" t="str">
        <f>"NEW HOPE"</f>
        <v>NEW HOPE</v>
      </c>
      <c r="D562" s="1" t="str">
        <f>"PA"</f>
        <v>PA</v>
      </c>
      <c r="E562" s="2">
        <v>1</v>
      </c>
      <c r="F562" s="2">
        <v>1</v>
      </c>
      <c r="G562" s="2">
        <v>1</v>
      </c>
      <c r="H562" s="2">
        <v>1</v>
      </c>
    </row>
    <row r="563" spans="1:8" x14ac:dyDescent="0.25">
      <c r="A563" s="1" t="str">
        <f>"19023"</f>
        <v>19023</v>
      </c>
      <c r="B563" s="1" t="str">
        <f>"37964"</f>
        <v>37964</v>
      </c>
      <c r="C563" s="1" t="str">
        <f>"DARBY"</f>
        <v>DARBY</v>
      </c>
      <c r="D563" s="1" t="str">
        <f>"PA"</f>
        <v>PA</v>
      </c>
      <c r="E563" s="2">
        <v>1</v>
      </c>
      <c r="F563" s="2">
        <v>1</v>
      </c>
      <c r="G563" s="2">
        <v>1</v>
      </c>
      <c r="H563" s="2">
        <v>1</v>
      </c>
    </row>
    <row r="564" spans="1:8" x14ac:dyDescent="0.25">
      <c r="A564" s="1" t="str">
        <f>"19057"</f>
        <v>19057</v>
      </c>
      <c r="B564" s="1" t="str">
        <f>"33874"</f>
        <v>33874</v>
      </c>
      <c r="C564" s="1" t="str">
        <f>"LEVITTOWN"</f>
        <v>LEVITTOWN</v>
      </c>
      <c r="D564" s="1" t="str">
        <f>"PA"</f>
        <v>PA</v>
      </c>
      <c r="E564" s="2">
        <v>1</v>
      </c>
      <c r="F564" s="2">
        <v>1</v>
      </c>
      <c r="G564" s="2">
        <v>1</v>
      </c>
      <c r="H564" s="2">
        <v>1</v>
      </c>
    </row>
    <row r="565" spans="1:8" x14ac:dyDescent="0.25">
      <c r="A565" s="1" t="str">
        <f>"19079"</f>
        <v>19079</v>
      </c>
      <c r="B565" s="1" t="str">
        <f>"37964"</f>
        <v>37964</v>
      </c>
      <c r="C565" s="1" t="str">
        <f>"SHARON HILL"</f>
        <v>SHARON HILL</v>
      </c>
      <c r="D565" s="1" t="str">
        <f>"PA"</f>
        <v>PA</v>
      </c>
      <c r="E565" s="2">
        <v>1</v>
      </c>
      <c r="F565" s="2">
        <v>1</v>
      </c>
      <c r="G565" s="2">
        <v>1</v>
      </c>
      <c r="H565" s="2">
        <v>1</v>
      </c>
    </row>
    <row r="566" spans="1:8" x14ac:dyDescent="0.25">
      <c r="A566" s="1" t="str">
        <f>"19301"</f>
        <v>19301</v>
      </c>
      <c r="B566" s="1" t="str">
        <f>"33874"</f>
        <v>33874</v>
      </c>
      <c r="C566" s="1" t="str">
        <f>"PAOLI"</f>
        <v>PAOLI</v>
      </c>
      <c r="D566" s="1" t="str">
        <f>"PA"</f>
        <v>PA</v>
      </c>
      <c r="E566" s="2">
        <v>1</v>
      </c>
      <c r="F566" s="2">
        <v>1</v>
      </c>
      <c r="G566" s="2">
        <v>1</v>
      </c>
      <c r="H566" s="2">
        <v>1</v>
      </c>
    </row>
    <row r="567" spans="1:8" x14ac:dyDescent="0.25">
      <c r="A567" s="1" t="str">
        <f>"20010"</f>
        <v>20010</v>
      </c>
      <c r="B567" s="1" t="str">
        <f>"47894"</f>
        <v>47894</v>
      </c>
      <c r="C567" s="1" t="str">
        <f>"WASHINGTON"</f>
        <v>WASHINGTON</v>
      </c>
      <c r="D567" s="1" t="str">
        <f>"DC"</f>
        <v>DC</v>
      </c>
      <c r="E567" s="2">
        <v>1</v>
      </c>
      <c r="F567" s="2">
        <v>1</v>
      </c>
      <c r="G567" s="2">
        <v>1</v>
      </c>
      <c r="H567" s="2">
        <v>1</v>
      </c>
    </row>
    <row r="568" spans="1:8" x14ac:dyDescent="0.25">
      <c r="A568" s="1" t="str">
        <f>"20706"</f>
        <v>20706</v>
      </c>
      <c r="B568" s="1" t="str">
        <f>"47894"</f>
        <v>47894</v>
      </c>
      <c r="C568" s="1" t="str">
        <f>"LANHAM"</f>
        <v>LANHAM</v>
      </c>
      <c r="D568" s="1" t="str">
        <f t="shared" ref="D568:D574" si="44">"MD"</f>
        <v>MD</v>
      </c>
      <c r="E568" s="2">
        <v>1</v>
      </c>
      <c r="F568" s="2">
        <v>1</v>
      </c>
      <c r="G568" s="2">
        <v>1</v>
      </c>
      <c r="H568" s="2">
        <v>1</v>
      </c>
    </row>
    <row r="569" spans="1:8" x14ac:dyDescent="0.25">
      <c r="A569" s="1" t="str">
        <f>"20746"</f>
        <v>20746</v>
      </c>
      <c r="B569" s="1" t="str">
        <f>"47894"</f>
        <v>47894</v>
      </c>
      <c r="C569" s="1" t="str">
        <f>"SUITLAND"</f>
        <v>SUITLAND</v>
      </c>
      <c r="D569" s="1" t="str">
        <f t="shared" si="44"/>
        <v>MD</v>
      </c>
      <c r="E569" s="2">
        <v>1</v>
      </c>
      <c r="F569" s="2">
        <v>1</v>
      </c>
      <c r="G569" s="2">
        <v>1</v>
      </c>
      <c r="H569" s="2">
        <v>1</v>
      </c>
    </row>
    <row r="570" spans="1:8" x14ac:dyDescent="0.25">
      <c r="A570" s="1" t="str">
        <f>"20735"</f>
        <v>20735</v>
      </c>
      <c r="B570" s="1" t="str">
        <f>"47894"</f>
        <v>47894</v>
      </c>
      <c r="C570" s="1" t="str">
        <f>"CLINTON"</f>
        <v>CLINTON</v>
      </c>
      <c r="D570" s="1" t="str">
        <f t="shared" si="44"/>
        <v>MD</v>
      </c>
      <c r="E570" s="2">
        <v>1</v>
      </c>
      <c r="F570" s="2">
        <v>1</v>
      </c>
      <c r="G570" s="2">
        <v>1</v>
      </c>
      <c r="H570" s="2">
        <v>1</v>
      </c>
    </row>
    <row r="571" spans="1:8" x14ac:dyDescent="0.25">
      <c r="A571" s="1" t="str">
        <f>"20816"</f>
        <v>20816</v>
      </c>
      <c r="B571" s="1" t="str">
        <f>"23224"</f>
        <v>23224</v>
      </c>
      <c r="C571" s="1" t="str">
        <f>"BETHESDA"</f>
        <v>BETHESDA</v>
      </c>
      <c r="D571" s="1" t="str">
        <f t="shared" si="44"/>
        <v>MD</v>
      </c>
      <c r="E571" s="2">
        <v>1</v>
      </c>
      <c r="F571" s="2">
        <v>1</v>
      </c>
      <c r="G571" s="2">
        <v>1</v>
      </c>
      <c r="H571" s="2">
        <v>1</v>
      </c>
    </row>
    <row r="572" spans="1:8" x14ac:dyDescent="0.25">
      <c r="A572" s="1" t="str">
        <f>"20895"</f>
        <v>20895</v>
      </c>
      <c r="B572" s="1" t="str">
        <f>"23224"</f>
        <v>23224</v>
      </c>
      <c r="C572" s="1" t="str">
        <f>"KENSINGTON"</f>
        <v>KENSINGTON</v>
      </c>
      <c r="D572" s="1" t="str">
        <f t="shared" si="44"/>
        <v>MD</v>
      </c>
      <c r="E572" s="2">
        <v>1</v>
      </c>
      <c r="F572" s="2">
        <v>1</v>
      </c>
      <c r="G572" s="2">
        <v>1</v>
      </c>
      <c r="H572" s="2">
        <v>1</v>
      </c>
    </row>
    <row r="573" spans="1:8" x14ac:dyDescent="0.25">
      <c r="A573" s="1" t="str">
        <f>"21783"</f>
        <v>21783</v>
      </c>
      <c r="B573" s="1" t="str">
        <f>"23224"</f>
        <v>23224</v>
      </c>
      <c r="C573" s="1" t="str">
        <f>"SMITHSBURG"</f>
        <v>SMITHSBURG</v>
      </c>
      <c r="D573" s="1" t="str">
        <f t="shared" si="44"/>
        <v>MD</v>
      </c>
      <c r="E573" s="2">
        <v>1</v>
      </c>
      <c r="F573" s="2">
        <v>1</v>
      </c>
      <c r="G573" s="2">
        <v>0</v>
      </c>
      <c r="H573" s="2">
        <v>1</v>
      </c>
    </row>
    <row r="574" spans="1:8" x14ac:dyDescent="0.25">
      <c r="A574" s="1" t="str">
        <f>"21915"</f>
        <v>21915</v>
      </c>
      <c r="B574" s="1" t="str">
        <f>"48864"</f>
        <v>48864</v>
      </c>
      <c r="C574" s="1" t="str">
        <f>"CHESAPEAKE CITY"</f>
        <v>CHESAPEAKE CITY</v>
      </c>
      <c r="D574" s="1" t="str">
        <f t="shared" si="44"/>
        <v>MD</v>
      </c>
      <c r="E574" s="2">
        <v>1</v>
      </c>
      <c r="F574" s="2">
        <v>1</v>
      </c>
      <c r="G574" s="2">
        <v>1</v>
      </c>
      <c r="H574" s="2">
        <v>1</v>
      </c>
    </row>
    <row r="575" spans="1:8" x14ac:dyDescent="0.25">
      <c r="A575" s="1" t="str">
        <f>"20141"</f>
        <v>20141</v>
      </c>
      <c r="B575" s="1" t="str">
        <f>"47894"</f>
        <v>47894</v>
      </c>
      <c r="C575" s="1" t="str">
        <f>"ROUND HILL"</f>
        <v>ROUND HILL</v>
      </c>
      <c r="D575" s="1" t="str">
        <f>"VA"</f>
        <v>VA</v>
      </c>
      <c r="E575" s="2">
        <v>1</v>
      </c>
      <c r="F575" s="2">
        <v>1</v>
      </c>
      <c r="G575" s="2">
        <v>1</v>
      </c>
      <c r="H575" s="2">
        <v>1</v>
      </c>
    </row>
    <row r="576" spans="1:8" x14ac:dyDescent="0.25">
      <c r="A576" s="1" t="str">
        <f>"22301"</f>
        <v>22301</v>
      </c>
      <c r="B576" s="1" t="str">
        <f>"47894"</f>
        <v>47894</v>
      </c>
      <c r="C576" s="1" t="str">
        <f>"ALEXANDRIA"</f>
        <v>ALEXANDRIA</v>
      </c>
      <c r="D576" s="1" t="str">
        <f>"VA"</f>
        <v>VA</v>
      </c>
      <c r="E576" s="2">
        <v>1</v>
      </c>
      <c r="F576" s="2">
        <v>1</v>
      </c>
      <c r="G576" s="2">
        <v>1</v>
      </c>
      <c r="H576" s="2">
        <v>1</v>
      </c>
    </row>
    <row r="577" spans="1:8" x14ac:dyDescent="0.25">
      <c r="A577" s="1" t="str">
        <f>"33055"</f>
        <v>33055</v>
      </c>
      <c r="B577" s="1" t="str">
        <f>"33124"</f>
        <v>33124</v>
      </c>
      <c r="C577" s="1" t="str">
        <f>"OPA LOCKA"</f>
        <v>OPA LOCKA</v>
      </c>
      <c r="D577" s="1" t="str">
        <f>"FL"</f>
        <v>FL</v>
      </c>
      <c r="E577" s="2">
        <v>1</v>
      </c>
      <c r="F577" s="2">
        <v>1</v>
      </c>
      <c r="G577" s="2">
        <v>1</v>
      </c>
      <c r="H577" s="2">
        <v>1</v>
      </c>
    </row>
    <row r="578" spans="1:8" x14ac:dyDescent="0.25">
      <c r="A578" s="1" t="str">
        <f>"33417"</f>
        <v>33417</v>
      </c>
      <c r="B578" s="1" t="str">
        <f>"48424"</f>
        <v>48424</v>
      </c>
      <c r="C578" s="1" t="str">
        <f>"WEST PALM BEACH"</f>
        <v>WEST PALM BEACH</v>
      </c>
      <c r="D578" s="1" t="str">
        <f>"FL"</f>
        <v>FL</v>
      </c>
      <c r="E578" s="2">
        <v>1</v>
      </c>
      <c r="F578" s="2">
        <v>1</v>
      </c>
      <c r="G578" s="2">
        <v>1</v>
      </c>
      <c r="H578" s="2">
        <v>1</v>
      </c>
    </row>
    <row r="579" spans="1:8" x14ac:dyDescent="0.25">
      <c r="A579" s="1" t="str">
        <f>"33338"</f>
        <v>33338</v>
      </c>
      <c r="B579" s="1" t="str">
        <f>"22744"</f>
        <v>22744</v>
      </c>
      <c r="C579" s="1" t="str">
        <f>"FORT LAUDERDALE"</f>
        <v>FORT LAUDERDALE</v>
      </c>
      <c r="D579" s="1" t="str">
        <f>"FL"</f>
        <v>FL</v>
      </c>
      <c r="E579" s="2">
        <v>1</v>
      </c>
      <c r="F579" s="2">
        <v>1</v>
      </c>
      <c r="G579" s="2">
        <v>1</v>
      </c>
      <c r="H579" s="2">
        <v>1</v>
      </c>
    </row>
    <row r="580" spans="1:8" x14ac:dyDescent="0.25">
      <c r="A580" s="1" t="str">
        <f>"33470"</f>
        <v>33470</v>
      </c>
      <c r="B580" s="1" t="str">
        <f>"48424"</f>
        <v>48424</v>
      </c>
      <c r="C580" s="1" t="str">
        <f>"LOXAHATCHEE"</f>
        <v>LOXAHATCHEE</v>
      </c>
      <c r="D580" s="1" t="str">
        <f>"FL"</f>
        <v>FL</v>
      </c>
      <c r="E580" s="2">
        <v>1</v>
      </c>
      <c r="F580" s="2">
        <v>1</v>
      </c>
      <c r="G580" s="2">
        <v>1</v>
      </c>
      <c r="H580" s="2">
        <v>1</v>
      </c>
    </row>
    <row r="581" spans="1:8" x14ac:dyDescent="0.25">
      <c r="A581" s="1" t="str">
        <f>"48034"</f>
        <v>48034</v>
      </c>
      <c r="B581" s="1" t="str">
        <f>"47664"</f>
        <v>47664</v>
      </c>
      <c r="C581" s="1" t="str">
        <f>"SOUTHFIELD"</f>
        <v>SOUTHFIELD</v>
      </c>
      <c r="D581" s="1" t="str">
        <f t="shared" ref="D581:D586" si="45">"MI"</f>
        <v>MI</v>
      </c>
      <c r="E581" s="2">
        <v>1</v>
      </c>
      <c r="F581" s="2">
        <v>1</v>
      </c>
      <c r="G581" s="2">
        <v>1</v>
      </c>
      <c r="H581" s="2">
        <v>1</v>
      </c>
    </row>
    <row r="582" spans="1:8" x14ac:dyDescent="0.25">
      <c r="A582" s="1" t="str">
        <f>"48038"</f>
        <v>48038</v>
      </c>
      <c r="B582" s="1" t="str">
        <f>"47664"</f>
        <v>47664</v>
      </c>
      <c r="C582" s="1" t="str">
        <f>"CLINTON TOWNSHIP"</f>
        <v>CLINTON TOWNSHIP</v>
      </c>
      <c r="D582" s="1" t="str">
        <f t="shared" si="45"/>
        <v>MI</v>
      </c>
      <c r="E582" s="2">
        <v>1</v>
      </c>
      <c r="F582" s="2">
        <v>1</v>
      </c>
      <c r="G582" s="2">
        <v>1</v>
      </c>
      <c r="H582" s="2">
        <v>1</v>
      </c>
    </row>
    <row r="583" spans="1:8" x14ac:dyDescent="0.25">
      <c r="A583" s="1" t="str">
        <f>"48050"</f>
        <v>48050</v>
      </c>
      <c r="B583" s="1" t="str">
        <f>"47664"</f>
        <v>47664</v>
      </c>
      <c r="C583" s="1" t="str">
        <f>"NEW HAVEN"</f>
        <v>NEW HAVEN</v>
      </c>
      <c r="D583" s="1" t="str">
        <f t="shared" si="45"/>
        <v>MI</v>
      </c>
      <c r="E583" s="2">
        <v>1</v>
      </c>
      <c r="F583" s="2">
        <v>1</v>
      </c>
      <c r="G583" s="2">
        <v>1</v>
      </c>
      <c r="H583" s="2">
        <v>1</v>
      </c>
    </row>
    <row r="584" spans="1:8" x14ac:dyDescent="0.25">
      <c r="A584" s="1" t="str">
        <f>"48383"</f>
        <v>48383</v>
      </c>
      <c r="B584" s="1" t="str">
        <f>"47664"</f>
        <v>47664</v>
      </c>
      <c r="C584" s="1" t="str">
        <f>"WHITE LAKE"</f>
        <v>WHITE LAKE</v>
      </c>
      <c r="D584" s="1" t="str">
        <f t="shared" si="45"/>
        <v>MI</v>
      </c>
      <c r="E584" s="2">
        <v>1</v>
      </c>
      <c r="F584" s="2">
        <v>1</v>
      </c>
      <c r="G584" s="2">
        <v>1</v>
      </c>
      <c r="H584" s="2">
        <v>1</v>
      </c>
    </row>
    <row r="585" spans="1:8" x14ac:dyDescent="0.25">
      <c r="A585" s="1" t="str">
        <f>"48442"</f>
        <v>48442</v>
      </c>
      <c r="B585" s="1" t="str">
        <f>"47664"</f>
        <v>47664</v>
      </c>
      <c r="C585" s="1" t="str">
        <f>"HOLLY"</f>
        <v>HOLLY</v>
      </c>
      <c r="D585" s="1" t="str">
        <f t="shared" si="45"/>
        <v>MI</v>
      </c>
      <c r="E585" s="2">
        <v>1</v>
      </c>
      <c r="F585" s="2">
        <v>1</v>
      </c>
      <c r="G585" s="2">
        <v>1</v>
      </c>
      <c r="H585" s="2">
        <v>1</v>
      </c>
    </row>
    <row r="586" spans="1:8" x14ac:dyDescent="0.25">
      <c r="A586" s="1" t="str">
        <f>"48203"</f>
        <v>48203</v>
      </c>
      <c r="B586" s="1" t="str">
        <f>"19804"</f>
        <v>19804</v>
      </c>
      <c r="C586" s="1" t="str">
        <f>"HIGHLAND PARK"</f>
        <v>HIGHLAND PARK</v>
      </c>
      <c r="D586" s="1" t="str">
        <f t="shared" si="45"/>
        <v>MI</v>
      </c>
      <c r="E586" s="2">
        <v>1</v>
      </c>
      <c r="F586" s="2">
        <v>1</v>
      </c>
      <c r="G586" s="2">
        <v>1</v>
      </c>
      <c r="H586" s="2">
        <v>1</v>
      </c>
    </row>
    <row r="587" spans="1:8" x14ac:dyDescent="0.25">
      <c r="A587" s="1" t="str">
        <f>"60438"</f>
        <v>60438</v>
      </c>
      <c r="B587" s="1" t="str">
        <f>"16984"</f>
        <v>16984</v>
      </c>
      <c r="C587" s="1" t="str">
        <f>"LANSING"</f>
        <v>LANSING</v>
      </c>
      <c r="D587" s="1" t="str">
        <f t="shared" ref="D587:D599" si="46">"IL"</f>
        <v>IL</v>
      </c>
      <c r="E587" s="2">
        <v>1</v>
      </c>
      <c r="F587" s="2">
        <v>1</v>
      </c>
      <c r="G587" s="2">
        <v>1</v>
      </c>
      <c r="H587" s="2">
        <v>1</v>
      </c>
    </row>
    <row r="588" spans="1:8" x14ac:dyDescent="0.25">
      <c r="A588" s="1" t="str">
        <f>"60445"</f>
        <v>60445</v>
      </c>
      <c r="B588" s="1" t="str">
        <f>"16984"</f>
        <v>16984</v>
      </c>
      <c r="C588" s="1" t="str">
        <f>"MIDLOTHIAN"</f>
        <v>MIDLOTHIAN</v>
      </c>
      <c r="D588" s="1" t="str">
        <f t="shared" si="46"/>
        <v>IL</v>
      </c>
      <c r="E588" s="2">
        <v>1</v>
      </c>
      <c r="F588" s="2">
        <v>1</v>
      </c>
      <c r="G588" s="2">
        <v>1</v>
      </c>
      <c r="H588" s="2">
        <v>1</v>
      </c>
    </row>
    <row r="589" spans="1:8" x14ac:dyDescent="0.25">
      <c r="A589" s="1" t="str">
        <f>"60477"</f>
        <v>60477</v>
      </c>
      <c r="B589" s="1" t="str">
        <f>"16984"</f>
        <v>16984</v>
      </c>
      <c r="C589" s="1" t="str">
        <f>"TINLEY PARK"</f>
        <v>TINLEY PARK</v>
      </c>
      <c r="D589" s="1" t="str">
        <f t="shared" si="46"/>
        <v>IL</v>
      </c>
      <c r="E589" s="2">
        <v>1</v>
      </c>
      <c r="F589" s="2">
        <v>1</v>
      </c>
      <c r="G589" s="2">
        <v>1</v>
      </c>
      <c r="H589" s="2">
        <v>1</v>
      </c>
    </row>
    <row r="590" spans="1:8" x14ac:dyDescent="0.25">
      <c r="A590" s="1" t="str">
        <f>"60563"</f>
        <v>60563</v>
      </c>
      <c r="B590" s="1" t="str">
        <f>"16984"</f>
        <v>16984</v>
      </c>
      <c r="C590" s="1" t="str">
        <f>"NAPERVILLE"</f>
        <v>NAPERVILLE</v>
      </c>
      <c r="D590" s="1" t="str">
        <f t="shared" si="46"/>
        <v>IL</v>
      </c>
      <c r="E590" s="2">
        <v>1</v>
      </c>
      <c r="F590" s="2">
        <v>1</v>
      </c>
      <c r="G590" s="2">
        <v>1</v>
      </c>
      <c r="H590" s="2">
        <v>1</v>
      </c>
    </row>
    <row r="591" spans="1:8" x14ac:dyDescent="0.25">
      <c r="A591" s="1" t="str">
        <f>"60565"</f>
        <v>60565</v>
      </c>
      <c r="B591" s="1" t="str">
        <f>"16984"</f>
        <v>16984</v>
      </c>
      <c r="C591" s="1" t="str">
        <f>"NAPERVILLE"</f>
        <v>NAPERVILLE</v>
      </c>
      <c r="D591" s="1" t="str">
        <f t="shared" si="46"/>
        <v>IL</v>
      </c>
      <c r="E591" s="2">
        <v>1</v>
      </c>
      <c r="F591" s="2">
        <v>1</v>
      </c>
      <c r="G591" s="2">
        <v>1</v>
      </c>
      <c r="H591" s="2">
        <v>1</v>
      </c>
    </row>
    <row r="592" spans="1:8" x14ac:dyDescent="0.25">
      <c r="A592" s="1" t="str">
        <f>"60142"</f>
        <v>60142</v>
      </c>
      <c r="B592" s="1" t="str">
        <f>"20994"</f>
        <v>20994</v>
      </c>
      <c r="C592" s="1" t="str">
        <f>"HUNTLEY"</f>
        <v>HUNTLEY</v>
      </c>
      <c r="D592" s="1" t="str">
        <f t="shared" si="46"/>
        <v>IL</v>
      </c>
      <c r="E592" s="2">
        <v>0.29543329737504398</v>
      </c>
      <c r="F592" s="2">
        <v>0.209248554913294</v>
      </c>
      <c r="G592" s="2">
        <v>8.2397003745318304E-2</v>
      </c>
      <c r="H592" s="2">
        <v>0.28669282436656202</v>
      </c>
    </row>
    <row r="593" spans="1:8" x14ac:dyDescent="0.25">
      <c r="A593" s="1" t="str">
        <f>"60142"</f>
        <v>60142</v>
      </c>
      <c r="B593" s="1" t="str">
        <f t="shared" ref="B593:B599" si="47">"16984"</f>
        <v>16984</v>
      </c>
      <c r="C593" s="1" t="str">
        <f>"HUNTLEY"</f>
        <v>HUNTLEY</v>
      </c>
      <c r="D593" s="1" t="str">
        <f t="shared" si="46"/>
        <v>IL</v>
      </c>
      <c r="E593" s="2">
        <v>0.70456670262495502</v>
      </c>
      <c r="F593" s="2">
        <v>0.79075144508670503</v>
      </c>
      <c r="G593" s="2">
        <v>0.917602996254681</v>
      </c>
      <c r="H593" s="2">
        <v>0.71330717563343704</v>
      </c>
    </row>
    <row r="594" spans="1:8" x14ac:dyDescent="0.25">
      <c r="A594" s="1" t="str">
        <f>"60148"</f>
        <v>60148</v>
      </c>
      <c r="B594" s="1" t="str">
        <f t="shared" si="47"/>
        <v>16984</v>
      </c>
      <c r="C594" s="1" t="str">
        <f>"LOMBARD"</f>
        <v>LOMBARD</v>
      </c>
      <c r="D594" s="1" t="str">
        <f t="shared" si="46"/>
        <v>IL</v>
      </c>
      <c r="E594" s="2">
        <v>1</v>
      </c>
      <c r="F594" s="2">
        <v>1</v>
      </c>
      <c r="G594" s="2">
        <v>1</v>
      </c>
      <c r="H594" s="2">
        <v>1</v>
      </c>
    </row>
    <row r="595" spans="1:8" x14ac:dyDescent="0.25">
      <c r="A595" s="1" t="str">
        <f>"60072"</f>
        <v>60072</v>
      </c>
      <c r="B595" s="1" t="str">
        <f t="shared" si="47"/>
        <v>16984</v>
      </c>
      <c r="C595" s="1" t="str">
        <f>"RINGWOOD"</f>
        <v>RINGWOOD</v>
      </c>
      <c r="D595" s="1" t="str">
        <f t="shared" si="46"/>
        <v>IL</v>
      </c>
      <c r="E595" s="2">
        <v>1</v>
      </c>
      <c r="F595" s="2">
        <v>1</v>
      </c>
      <c r="G595" s="2">
        <v>1</v>
      </c>
      <c r="H595" s="2">
        <v>1</v>
      </c>
    </row>
    <row r="596" spans="1:8" x14ac:dyDescent="0.25">
      <c r="A596" s="1" t="str">
        <f>"60168"</f>
        <v>60168</v>
      </c>
      <c r="B596" s="1" t="str">
        <f t="shared" si="47"/>
        <v>16984</v>
      </c>
      <c r="C596" s="1" t="str">
        <f>"SCHAUMBURG"</f>
        <v>SCHAUMBURG</v>
      </c>
      <c r="D596" s="1" t="str">
        <f t="shared" si="46"/>
        <v>IL</v>
      </c>
      <c r="E596" s="2">
        <v>1</v>
      </c>
      <c r="F596" s="2">
        <v>1</v>
      </c>
      <c r="G596" s="2">
        <v>1</v>
      </c>
      <c r="H596" s="2">
        <v>1</v>
      </c>
    </row>
    <row r="597" spans="1:8" x14ac:dyDescent="0.25">
      <c r="A597" s="1" t="str">
        <f>"60706"</f>
        <v>60706</v>
      </c>
      <c r="B597" s="1" t="str">
        <f t="shared" si="47"/>
        <v>16984</v>
      </c>
      <c r="C597" s="1" t="str">
        <f>"HARWOOD HEIGHTS"</f>
        <v>HARWOOD HEIGHTS</v>
      </c>
      <c r="D597" s="1" t="str">
        <f t="shared" si="46"/>
        <v>IL</v>
      </c>
      <c r="E597" s="2">
        <v>1</v>
      </c>
      <c r="F597" s="2">
        <v>1</v>
      </c>
      <c r="G597" s="2">
        <v>1</v>
      </c>
      <c r="H597" s="2">
        <v>1</v>
      </c>
    </row>
    <row r="598" spans="1:8" x14ac:dyDescent="0.25">
      <c r="A598" s="1" t="str">
        <f>"60304"</f>
        <v>60304</v>
      </c>
      <c r="B598" s="1" t="str">
        <f t="shared" si="47"/>
        <v>16984</v>
      </c>
      <c r="C598" s="1" t="str">
        <f>"OAK PARK"</f>
        <v>OAK PARK</v>
      </c>
      <c r="D598" s="1" t="str">
        <f t="shared" si="46"/>
        <v>IL</v>
      </c>
      <c r="E598" s="2">
        <v>1</v>
      </c>
      <c r="F598" s="2">
        <v>1</v>
      </c>
      <c r="G598" s="2">
        <v>1</v>
      </c>
      <c r="H598" s="2">
        <v>1</v>
      </c>
    </row>
    <row r="599" spans="1:8" x14ac:dyDescent="0.25">
      <c r="A599" s="1" t="str">
        <f>"60633"</f>
        <v>60633</v>
      </c>
      <c r="B599" s="1" t="str">
        <f t="shared" si="47"/>
        <v>16984</v>
      </c>
      <c r="C599" s="1" t="str">
        <f>"CHICAGO"</f>
        <v>CHICAGO</v>
      </c>
      <c r="D599" s="1" t="str">
        <f t="shared" si="46"/>
        <v>IL</v>
      </c>
      <c r="E599" s="2">
        <v>1</v>
      </c>
      <c r="F599" s="2">
        <v>1</v>
      </c>
      <c r="G599" s="2">
        <v>1</v>
      </c>
      <c r="H599" s="2">
        <v>1</v>
      </c>
    </row>
    <row r="600" spans="1:8" x14ac:dyDescent="0.25">
      <c r="A600" s="1" t="str">
        <f>"75048"</f>
        <v>75048</v>
      </c>
      <c r="B600" s="1" t="str">
        <f t="shared" ref="B600:B606" si="48">"19124"</f>
        <v>19124</v>
      </c>
      <c r="C600" s="1" t="str">
        <f>"SACHSE"</f>
        <v>SACHSE</v>
      </c>
      <c r="D600" s="1" t="str">
        <f t="shared" ref="D600:D612" si="49">"TX"</f>
        <v>TX</v>
      </c>
      <c r="E600" s="2">
        <v>1</v>
      </c>
      <c r="F600" s="2">
        <v>1</v>
      </c>
      <c r="G600" s="2">
        <v>1</v>
      </c>
      <c r="H600" s="2">
        <v>1</v>
      </c>
    </row>
    <row r="601" spans="1:8" x14ac:dyDescent="0.25">
      <c r="A601" s="1" t="str">
        <f>"75232"</f>
        <v>75232</v>
      </c>
      <c r="B601" s="1" t="str">
        <f t="shared" si="48"/>
        <v>19124</v>
      </c>
      <c r="C601" s="1" t="str">
        <f>"DALLAS"</f>
        <v>DALLAS</v>
      </c>
      <c r="D601" s="1" t="str">
        <f t="shared" si="49"/>
        <v>TX</v>
      </c>
      <c r="E601" s="2">
        <v>1</v>
      </c>
      <c r="F601" s="2">
        <v>1</v>
      </c>
      <c r="G601" s="2">
        <v>1</v>
      </c>
      <c r="H601" s="2">
        <v>1</v>
      </c>
    </row>
    <row r="602" spans="1:8" x14ac:dyDescent="0.25">
      <c r="A602" s="1" t="str">
        <f>"75252"</f>
        <v>75252</v>
      </c>
      <c r="B602" s="1" t="str">
        <f t="shared" si="48"/>
        <v>19124</v>
      </c>
      <c r="C602" s="1" t="str">
        <f>"DALLAS"</f>
        <v>DALLAS</v>
      </c>
      <c r="D602" s="1" t="str">
        <f t="shared" si="49"/>
        <v>TX</v>
      </c>
      <c r="E602" s="2">
        <v>1</v>
      </c>
      <c r="F602" s="2">
        <v>1</v>
      </c>
      <c r="G602" s="2">
        <v>1</v>
      </c>
      <c r="H602" s="2">
        <v>1</v>
      </c>
    </row>
    <row r="603" spans="1:8" x14ac:dyDescent="0.25">
      <c r="A603" s="1" t="str">
        <f>"75206"</f>
        <v>75206</v>
      </c>
      <c r="B603" s="1" t="str">
        <f t="shared" si="48"/>
        <v>19124</v>
      </c>
      <c r="C603" s="1" t="str">
        <f>"DALLAS"</f>
        <v>DALLAS</v>
      </c>
      <c r="D603" s="1" t="str">
        <f t="shared" si="49"/>
        <v>TX</v>
      </c>
      <c r="E603" s="2">
        <v>1</v>
      </c>
      <c r="F603" s="2">
        <v>1</v>
      </c>
      <c r="G603" s="2">
        <v>1</v>
      </c>
      <c r="H603" s="2">
        <v>1</v>
      </c>
    </row>
    <row r="604" spans="1:8" x14ac:dyDescent="0.25">
      <c r="A604" s="1" t="str">
        <f>"75087"</f>
        <v>75087</v>
      </c>
      <c r="B604" s="1" t="str">
        <f t="shared" si="48"/>
        <v>19124</v>
      </c>
      <c r="C604" s="1" t="str">
        <f>"ROCKWALL"</f>
        <v>ROCKWALL</v>
      </c>
      <c r="D604" s="1" t="str">
        <f t="shared" si="49"/>
        <v>TX</v>
      </c>
      <c r="E604" s="2">
        <v>1</v>
      </c>
      <c r="F604" s="2">
        <v>1</v>
      </c>
      <c r="G604" s="2">
        <v>1</v>
      </c>
      <c r="H604" s="2">
        <v>1</v>
      </c>
    </row>
    <row r="605" spans="1:8" x14ac:dyDescent="0.25">
      <c r="A605" s="1" t="str">
        <f>"75453"</f>
        <v>75453</v>
      </c>
      <c r="B605" s="1" t="str">
        <f t="shared" si="48"/>
        <v>19124</v>
      </c>
      <c r="C605" s="1" t="str">
        <f>"LONE OAK"</f>
        <v>LONE OAK</v>
      </c>
      <c r="D605" s="1" t="str">
        <f t="shared" si="49"/>
        <v>TX</v>
      </c>
      <c r="E605" s="2">
        <v>1</v>
      </c>
      <c r="F605" s="2">
        <v>1</v>
      </c>
      <c r="G605" s="2">
        <v>1</v>
      </c>
      <c r="H605" s="2">
        <v>1</v>
      </c>
    </row>
    <row r="606" spans="1:8" x14ac:dyDescent="0.25">
      <c r="A606" s="1" t="str">
        <f>"75454"</f>
        <v>75454</v>
      </c>
      <c r="B606" s="1" t="str">
        <f t="shared" si="48"/>
        <v>19124</v>
      </c>
      <c r="C606" s="1" t="str">
        <f>"MELISSA"</f>
        <v>MELISSA</v>
      </c>
      <c r="D606" s="1" t="str">
        <f t="shared" si="49"/>
        <v>TX</v>
      </c>
      <c r="E606" s="2">
        <v>1</v>
      </c>
      <c r="F606" s="2">
        <v>1</v>
      </c>
      <c r="G606" s="2">
        <v>1</v>
      </c>
      <c r="H606" s="2">
        <v>1</v>
      </c>
    </row>
    <row r="607" spans="1:8" x14ac:dyDescent="0.25">
      <c r="A607" s="1" t="str">
        <f>"76052"</f>
        <v>76052</v>
      </c>
      <c r="B607" s="1" t="str">
        <f>"23104"</f>
        <v>23104</v>
      </c>
      <c r="C607" s="1" t="str">
        <f>"HASLET"</f>
        <v>HASLET</v>
      </c>
      <c r="D607" s="1" t="str">
        <f t="shared" si="49"/>
        <v>TX</v>
      </c>
      <c r="E607" s="2">
        <v>0.86845751231527002</v>
      </c>
      <c r="F607" s="2">
        <v>0.98300653594771203</v>
      </c>
      <c r="G607" s="2">
        <v>0.82926829268292601</v>
      </c>
      <c r="H607" s="2">
        <v>0.87442363112391897</v>
      </c>
    </row>
    <row r="608" spans="1:8" x14ac:dyDescent="0.25">
      <c r="A608" s="1" t="str">
        <f>"76052"</f>
        <v>76052</v>
      </c>
      <c r="B608" s="1" t="str">
        <f>"19124"</f>
        <v>19124</v>
      </c>
      <c r="C608" s="1" t="str">
        <f>"HASLET"</f>
        <v>HASLET</v>
      </c>
      <c r="D608" s="1" t="str">
        <f t="shared" si="49"/>
        <v>TX</v>
      </c>
      <c r="E608" s="2">
        <v>0.13154248768472901</v>
      </c>
      <c r="F608" s="2">
        <v>1.6993464052287501E-2</v>
      </c>
      <c r="G608" s="2">
        <v>0.17073170731707299</v>
      </c>
      <c r="H608" s="2">
        <v>0.12557636887608001</v>
      </c>
    </row>
    <row r="609" spans="1:8" x14ac:dyDescent="0.25">
      <c r="A609" s="1" t="str">
        <f>"76016"</f>
        <v>76016</v>
      </c>
      <c r="B609" s="1" t="str">
        <f>"23104"</f>
        <v>23104</v>
      </c>
      <c r="C609" s="1" t="str">
        <f>"ARLINGTON"</f>
        <v>ARLINGTON</v>
      </c>
      <c r="D609" s="1" t="str">
        <f t="shared" si="49"/>
        <v>TX</v>
      </c>
      <c r="E609" s="2">
        <v>1</v>
      </c>
      <c r="F609" s="2">
        <v>1</v>
      </c>
      <c r="G609" s="2">
        <v>1</v>
      </c>
      <c r="H609" s="2">
        <v>1</v>
      </c>
    </row>
    <row r="610" spans="1:8" x14ac:dyDescent="0.25">
      <c r="A610" s="1" t="str">
        <f>"76117"</f>
        <v>76117</v>
      </c>
      <c r="B610" s="1" t="str">
        <f>"23104"</f>
        <v>23104</v>
      </c>
      <c r="C610" s="1" t="str">
        <f>"HALTOM CITY"</f>
        <v>HALTOM CITY</v>
      </c>
      <c r="D610" s="1" t="str">
        <f t="shared" si="49"/>
        <v>TX</v>
      </c>
      <c r="E610" s="2">
        <v>1</v>
      </c>
      <c r="F610" s="2">
        <v>1</v>
      </c>
      <c r="G610" s="2">
        <v>1</v>
      </c>
      <c r="H610" s="2">
        <v>1</v>
      </c>
    </row>
    <row r="611" spans="1:8" x14ac:dyDescent="0.25">
      <c r="A611" s="1" t="str">
        <f>"76107"</f>
        <v>76107</v>
      </c>
      <c r="B611" s="1" t="str">
        <f>"23104"</f>
        <v>23104</v>
      </c>
      <c r="C611" s="1" t="str">
        <f>"FORT WORTH"</f>
        <v>FORT WORTH</v>
      </c>
      <c r="D611" s="1" t="str">
        <f t="shared" si="49"/>
        <v>TX</v>
      </c>
      <c r="E611" s="2">
        <v>1</v>
      </c>
      <c r="F611" s="2">
        <v>1</v>
      </c>
      <c r="G611" s="2">
        <v>1</v>
      </c>
      <c r="H611" s="2">
        <v>1</v>
      </c>
    </row>
    <row r="612" spans="1:8" x14ac:dyDescent="0.25">
      <c r="A612" s="1" t="str">
        <f>"76104"</f>
        <v>76104</v>
      </c>
      <c r="B612" s="1" t="str">
        <f>"23104"</f>
        <v>23104</v>
      </c>
      <c r="C612" s="1" t="str">
        <f>"FORT WORTH"</f>
        <v>FORT WORTH</v>
      </c>
      <c r="D612" s="1" t="str">
        <f t="shared" si="49"/>
        <v>TX</v>
      </c>
      <c r="E612" s="2">
        <v>1</v>
      </c>
      <c r="F612" s="2">
        <v>1</v>
      </c>
      <c r="G612" s="2">
        <v>1</v>
      </c>
      <c r="H612" s="2">
        <v>1</v>
      </c>
    </row>
    <row r="613" spans="1:8" x14ac:dyDescent="0.25">
      <c r="A613" s="1" t="str">
        <f>"90027"</f>
        <v>90027</v>
      </c>
      <c r="B613" s="1" t="str">
        <f t="shared" ref="B613:B626" si="50">"31084"</f>
        <v>31084</v>
      </c>
      <c r="C613" s="1" t="str">
        <f>"LOS ANGELES"</f>
        <v>LOS ANGELES</v>
      </c>
      <c r="D613" s="1" t="str">
        <f t="shared" ref="D613:D633" si="51">"CA"</f>
        <v>CA</v>
      </c>
      <c r="E613" s="2">
        <v>1</v>
      </c>
      <c r="F613" s="2">
        <v>1</v>
      </c>
      <c r="G613" s="2">
        <v>1</v>
      </c>
      <c r="H613" s="2">
        <v>1</v>
      </c>
    </row>
    <row r="614" spans="1:8" x14ac:dyDescent="0.25">
      <c r="A614" s="1" t="str">
        <f>"90035"</f>
        <v>90035</v>
      </c>
      <c r="B614" s="1" t="str">
        <f t="shared" si="50"/>
        <v>31084</v>
      </c>
      <c r="C614" s="1" t="str">
        <f>"LOS ANGELES"</f>
        <v>LOS ANGELES</v>
      </c>
      <c r="D614" s="1" t="str">
        <f t="shared" si="51"/>
        <v>CA</v>
      </c>
      <c r="E614" s="2">
        <v>1</v>
      </c>
      <c r="F614" s="2">
        <v>1</v>
      </c>
      <c r="G614" s="2">
        <v>1</v>
      </c>
      <c r="H614" s="2">
        <v>1</v>
      </c>
    </row>
    <row r="615" spans="1:8" x14ac:dyDescent="0.25">
      <c r="A615" s="1" t="str">
        <f>"90094"</f>
        <v>90094</v>
      </c>
      <c r="B615" s="1" t="str">
        <f t="shared" si="50"/>
        <v>31084</v>
      </c>
      <c r="C615" s="1" t="str">
        <f>"PLAYA VISTA"</f>
        <v>PLAYA VISTA</v>
      </c>
      <c r="D615" s="1" t="str">
        <f t="shared" si="51"/>
        <v>CA</v>
      </c>
      <c r="E615" s="2">
        <v>1</v>
      </c>
      <c r="F615" s="2">
        <v>1</v>
      </c>
      <c r="G615" s="2">
        <v>1</v>
      </c>
      <c r="H615" s="2">
        <v>1</v>
      </c>
    </row>
    <row r="616" spans="1:8" x14ac:dyDescent="0.25">
      <c r="A616" s="1" t="str">
        <f>"90001"</f>
        <v>90001</v>
      </c>
      <c r="B616" s="1" t="str">
        <f t="shared" si="50"/>
        <v>31084</v>
      </c>
      <c r="C616" s="1" t="str">
        <f>"LOS ANGELES"</f>
        <v>LOS ANGELES</v>
      </c>
      <c r="D616" s="1" t="str">
        <f t="shared" si="51"/>
        <v>CA</v>
      </c>
      <c r="E616" s="2">
        <v>1</v>
      </c>
      <c r="F616" s="2">
        <v>1</v>
      </c>
      <c r="G616" s="2">
        <v>1</v>
      </c>
      <c r="H616" s="2">
        <v>1</v>
      </c>
    </row>
    <row r="617" spans="1:8" x14ac:dyDescent="0.25">
      <c r="A617" s="1" t="str">
        <f>"90061"</f>
        <v>90061</v>
      </c>
      <c r="B617" s="1" t="str">
        <f t="shared" si="50"/>
        <v>31084</v>
      </c>
      <c r="C617" s="1" t="str">
        <f>"LOS ANGELES"</f>
        <v>LOS ANGELES</v>
      </c>
      <c r="D617" s="1" t="str">
        <f t="shared" si="51"/>
        <v>CA</v>
      </c>
      <c r="E617" s="2">
        <v>1</v>
      </c>
      <c r="F617" s="2">
        <v>1</v>
      </c>
      <c r="G617" s="2">
        <v>1</v>
      </c>
      <c r="H617" s="2">
        <v>1</v>
      </c>
    </row>
    <row r="618" spans="1:8" x14ac:dyDescent="0.25">
      <c r="A618" s="1" t="str">
        <f>"90041"</f>
        <v>90041</v>
      </c>
      <c r="B618" s="1" t="str">
        <f t="shared" si="50"/>
        <v>31084</v>
      </c>
      <c r="C618" s="1" t="str">
        <f>"LOS ANGELES"</f>
        <v>LOS ANGELES</v>
      </c>
      <c r="D618" s="1" t="str">
        <f t="shared" si="51"/>
        <v>CA</v>
      </c>
      <c r="E618" s="2">
        <v>1</v>
      </c>
      <c r="F618" s="2">
        <v>1</v>
      </c>
      <c r="G618" s="2">
        <v>1</v>
      </c>
      <c r="H618" s="2">
        <v>1</v>
      </c>
    </row>
    <row r="619" spans="1:8" x14ac:dyDescent="0.25">
      <c r="A619" s="1" t="str">
        <f>"90265"</f>
        <v>90265</v>
      </c>
      <c r="B619" s="1" t="str">
        <f t="shared" si="50"/>
        <v>31084</v>
      </c>
      <c r="C619" s="1" t="str">
        <f>"MALIBU"</f>
        <v>MALIBU</v>
      </c>
      <c r="D619" s="1" t="str">
        <f t="shared" si="51"/>
        <v>CA</v>
      </c>
      <c r="E619" s="2">
        <v>1</v>
      </c>
      <c r="F619" s="2">
        <v>1</v>
      </c>
      <c r="G619" s="2">
        <v>1</v>
      </c>
      <c r="H619" s="2">
        <v>1</v>
      </c>
    </row>
    <row r="620" spans="1:8" x14ac:dyDescent="0.25">
      <c r="A620" s="1" t="str">
        <f>"91356"</f>
        <v>91356</v>
      </c>
      <c r="B620" s="1" t="str">
        <f t="shared" si="50"/>
        <v>31084</v>
      </c>
      <c r="C620" s="1" t="str">
        <f>"TARZANA"</f>
        <v>TARZANA</v>
      </c>
      <c r="D620" s="1" t="str">
        <f t="shared" si="51"/>
        <v>CA</v>
      </c>
      <c r="E620" s="2">
        <v>1</v>
      </c>
      <c r="F620" s="2">
        <v>1</v>
      </c>
      <c r="G620" s="2">
        <v>1</v>
      </c>
      <c r="H620" s="2">
        <v>1</v>
      </c>
    </row>
    <row r="621" spans="1:8" x14ac:dyDescent="0.25">
      <c r="A621" s="1" t="str">
        <f>"91367"</f>
        <v>91367</v>
      </c>
      <c r="B621" s="1" t="str">
        <f t="shared" si="50"/>
        <v>31084</v>
      </c>
      <c r="C621" s="1" t="str">
        <f>"WOODLAND HILLS"</f>
        <v>WOODLAND HILLS</v>
      </c>
      <c r="D621" s="1" t="str">
        <f t="shared" si="51"/>
        <v>CA</v>
      </c>
      <c r="E621" s="2">
        <v>1</v>
      </c>
      <c r="F621" s="2">
        <v>1</v>
      </c>
      <c r="G621" s="2">
        <v>1</v>
      </c>
      <c r="H621" s="2">
        <v>1</v>
      </c>
    </row>
    <row r="622" spans="1:8" x14ac:dyDescent="0.25">
      <c r="A622" s="1" t="str">
        <f>"91403"</f>
        <v>91403</v>
      </c>
      <c r="B622" s="1" t="str">
        <f t="shared" si="50"/>
        <v>31084</v>
      </c>
      <c r="C622" s="1" t="str">
        <f>"SHERMAN OAKS"</f>
        <v>SHERMAN OAKS</v>
      </c>
      <c r="D622" s="1" t="str">
        <f t="shared" si="51"/>
        <v>CA</v>
      </c>
      <c r="E622" s="2">
        <v>1</v>
      </c>
      <c r="F622" s="2">
        <v>1</v>
      </c>
      <c r="G622" s="2">
        <v>1</v>
      </c>
      <c r="H622" s="2">
        <v>1</v>
      </c>
    </row>
    <row r="623" spans="1:8" x14ac:dyDescent="0.25">
      <c r="A623" s="1" t="str">
        <f>"91604"</f>
        <v>91604</v>
      </c>
      <c r="B623" s="1" t="str">
        <f t="shared" si="50"/>
        <v>31084</v>
      </c>
      <c r="C623" s="1" t="str">
        <f>"STUDIO CITY"</f>
        <v>STUDIO CITY</v>
      </c>
      <c r="D623" s="1" t="str">
        <f t="shared" si="51"/>
        <v>CA</v>
      </c>
      <c r="E623" s="2">
        <v>1</v>
      </c>
      <c r="F623" s="2">
        <v>1</v>
      </c>
      <c r="G623" s="2">
        <v>1</v>
      </c>
      <c r="H623" s="2">
        <v>1</v>
      </c>
    </row>
    <row r="624" spans="1:8" x14ac:dyDescent="0.25">
      <c r="A624" s="1" t="str">
        <f>"91101"</f>
        <v>91101</v>
      </c>
      <c r="B624" s="1" t="str">
        <f t="shared" si="50"/>
        <v>31084</v>
      </c>
      <c r="C624" s="1" t="str">
        <f>"PASADENA"</f>
        <v>PASADENA</v>
      </c>
      <c r="D624" s="1" t="str">
        <f t="shared" si="51"/>
        <v>CA</v>
      </c>
      <c r="E624" s="2">
        <v>1</v>
      </c>
      <c r="F624" s="2">
        <v>1</v>
      </c>
      <c r="G624" s="2">
        <v>1</v>
      </c>
      <c r="H624" s="2">
        <v>1</v>
      </c>
    </row>
    <row r="625" spans="1:8" x14ac:dyDescent="0.25">
      <c r="A625" s="1" t="str">
        <f>"91020"</f>
        <v>91020</v>
      </c>
      <c r="B625" s="1" t="str">
        <f t="shared" si="50"/>
        <v>31084</v>
      </c>
      <c r="C625" s="1" t="str">
        <f>"MONTROSE"</f>
        <v>MONTROSE</v>
      </c>
      <c r="D625" s="1" t="str">
        <f t="shared" si="51"/>
        <v>CA</v>
      </c>
      <c r="E625" s="2">
        <v>1</v>
      </c>
      <c r="F625" s="2">
        <v>1</v>
      </c>
      <c r="G625" s="2">
        <v>1</v>
      </c>
      <c r="H625" s="2">
        <v>1</v>
      </c>
    </row>
    <row r="626" spans="1:8" x14ac:dyDescent="0.25">
      <c r="A626" s="1" t="str">
        <f>"91117"</f>
        <v>91117</v>
      </c>
      <c r="B626" s="1" t="str">
        <f t="shared" si="50"/>
        <v>31084</v>
      </c>
      <c r="C626" s="1" t="str">
        <f>"PASADENA"</f>
        <v>PASADENA</v>
      </c>
      <c r="D626" s="1" t="str">
        <f t="shared" si="51"/>
        <v>CA</v>
      </c>
      <c r="E626" s="2">
        <v>1</v>
      </c>
      <c r="F626" s="2">
        <v>1</v>
      </c>
      <c r="G626" s="2">
        <v>1</v>
      </c>
      <c r="H626" s="2">
        <v>1</v>
      </c>
    </row>
    <row r="627" spans="1:8" x14ac:dyDescent="0.25">
      <c r="A627" s="1" t="str">
        <f>"92802"</f>
        <v>92802</v>
      </c>
      <c r="B627" s="1" t="str">
        <f>"11244"</f>
        <v>11244</v>
      </c>
      <c r="C627" s="1" t="str">
        <f>"ANAHEIM"</f>
        <v>ANAHEIM</v>
      </c>
      <c r="D627" s="1" t="str">
        <f t="shared" si="51"/>
        <v>CA</v>
      </c>
      <c r="E627" s="2">
        <v>1</v>
      </c>
      <c r="F627" s="2">
        <v>1</v>
      </c>
      <c r="G627" s="2">
        <v>1</v>
      </c>
      <c r="H627" s="2">
        <v>1</v>
      </c>
    </row>
    <row r="628" spans="1:8" x14ac:dyDescent="0.25">
      <c r="A628" s="1" t="str">
        <f>"91733"</f>
        <v>91733</v>
      </c>
      <c r="B628" s="1" t="str">
        <f>"31084"</f>
        <v>31084</v>
      </c>
      <c r="C628" s="1" t="str">
        <f>"SOUTH EL MONTE"</f>
        <v>SOUTH EL MONTE</v>
      </c>
      <c r="D628" s="1" t="str">
        <f t="shared" si="51"/>
        <v>CA</v>
      </c>
      <c r="E628" s="2">
        <v>1</v>
      </c>
      <c r="F628" s="2">
        <v>1</v>
      </c>
      <c r="G628" s="2">
        <v>1</v>
      </c>
      <c r="H628" s="2">
        <v>1</v>
      </c>
    </row>
    <row r="629" spans="1:8" x14ac:dyDescent="0.25">
      <c r="A629" s="1" t="str">
        <f>"92630"</f>
        <v>92630</v>
      </c>
      <c r="B629" s="1" t="str">
        <f>"11244"</f>
        <v>11244</v>
      </c>
      <c r="C629" s="1" t="str">
        <f>"LAKE FOREST"</f>
        <v>LAKE FOREST</v>
      </c>
      <c r="D629" s="1" t="str">
        <f t="shared" si="51"/>
        <v>CA</v>
      </c>
      <c r="E629" s="2">
        <v>1</v>
      </c>
      <c r="F629" s="2">
        <v>1</v>
      </c>
      <c r="G629" s="2">
        <v>1</v>
      </c>
      <c r="H629" s="2">
        <v>1</v>
      </c>
    </row>
    <row r="630" spans="1:8" x14ac:dyDescent="0.25">
      <c r="A630" s="1" t="str">
        <f>"92606"</f>
        <v>92606</v>
      </c>
      <c r="B630" s="1" t="str">
        <f>"11244"</f>
        <v>11244</v>
      </c>
      <c r="C630" s="1" t="str">
        <f>"IRVINE"</f>
        <v>IRVINE</v>
      </c>
      <c r="D630" s="1" t="str">
        <f t="shared" si="51"/>
        <v>CA</v>
      </c>
      <c r="E630" s="2">
        <v>1</v>
      </c>
      <c r="F630" s="2">
        <v>1</v>
      </c>
      <c r="G630" s="2">
        <v>1</v>
      </c>
      <c r="H630" s="2">
        <v>1</v>
      </c>
    </row>
    <row r="631" spans="1:8" x14ac:dyDescent="0.25">
      <c r="A631" s="1" t="str">
        <f>"94507"</f>
        <v>94507</v>
      </c>
      <c r="B631" s="1" t="str">
        <f>"36084"</f>
        <v>36084</v>
      </c>
      <c r="C631" s="1" t="str">
        <f>"ALAMO"</f>
        <v>ALAMO</v>
      </c>
      <c r="D631" s="1" t="str">
        <f t="shared" si="51"/>
        <v>CA</v>
      </c>
      <c r="E631" s="2">
        <v>1</v>
      </c>
      <c r="F631" s="2">
        <v>1</v>
      </c>
      <c r="G631" s="2">
        <v>1</v>
      </c>
      <c r="H631" s="2">
        <v>1</v>
      </c>
    </row>
    <row r="632" spans="1:8" x14ac:dyDescent="0.25">
      <c r="A632" s="1" t="str">
        <f>"94623"</f>
        <v>94623</v>
      </c>
      <c r="B632" s="1" t="str">
        <f>"36084"</f>
        <v>36084</v>
      </c>
      <c r="C632" s="1" t="str">
        <f>"OAKLAND"</f>
        <v>OAKLAND</v>
      </c>
      <c r="D632" s="1" t="str">
        <f t="shared" si="51"/>
        <v>CA</v>
      </c>
      <c r="E632" s="2">
        <v>1</v>
      </c>
      <c r="F632" s="2">
        <v>1</v>
      </c>
      <c r="G632" s="2">
        <v>1</v>
      </c>
      <c r="H632" s="2">
        <v>1</v>
      </c>
    </row>
    <row r="633" spans="1:8" x14ac:dyDescent="0.25">
      <c r="A633" s="1" t="str">
        <f>"94806"</f>
        <v>94806</v>
      </c>
      <c r="B633" s="1" t="str">
        <f>"36084"</f>
        <v>36084</v>
      </c>
      <c r="C633" s="1" t="str">
        <f>"SAN PABLO"</f>
        <v>SAN PABLO</v>
      </c>
      <c r="D633" s="1" t="str">
        <f t="shared" si="51"/>
        <v>CA</v>
      </c>
      <c r="E633" s="2">
        <v>1</v>
      </c>
      <c r="F633" s="2">
        <v>1</v>
      </c>
      <c r="G633" s="2">
        <v>1</v>
      </c>
      <c r="H633" s="2">
        <v>1</v>
      </c>
    </row>
    <row r="634" spans="1:8" x14ac:dyDescent="0.25">
      <c r="A634" s="1" t="str">
        <f>"98032"</f>
        <v>98032</v>
      </c>
      <c r="B634" s="1" t="str">
        <f>"42644"</f>
        <v>42644</v>
      </c>
      <c r="C634" s="1" t="str">
        <f>"KENT"</f>
        <v>KENT</v>
      </c>
      <c r="D634" s="1" t="str">
        <f t="shared" ref="D634:D639" si="52">"WA"</f>
        <v>WA</v>
      </c>
      <c r="E634" s="2">
        <v>1</v>
      </c>
      <c r="F634" s="2">
        <v>1</v>
      </c>
      <c r="G634" s="2">
        <v>1</v>
      </c>
      <c r="H634" s="2">
        <v>1</v>
      </c>
    </row>
    <row r="635" spans="1:8" x14ac:dyDescent="0.25">
      <c r="A635" s="1" t="str">
        <f>"98058"</f>
        <v>98058</v>
      </c>
      <c r="B635" s="1" t="str">
        <f>"42644"</f>
        <v>42644</v>
      </c>
      <c r="C635" s="1" t="str">
        <f>"RENTON"</f>
        <v>RENTON</v>
      </c>
      <c r="D635" s="1" t="str">
        <f t="shared" si="52"/>
        <v>WA</v>
      </c>
      <c r="E635" s="2">
        <v>1</v>
      </c>
      <c r="F635" s="2">
        <v>1</v>
      </c>
      <c r="G635" s="2">
        <v>1</v>
      </c>
      <c r="H635" s="2">
        <v>1</v>
      </c>
    </row>
    <row r="636" spans="1:8" x14ac:dyDescent="0.25">
      <c r="A636" s="1" t="str">
        <f>"98387"</f>
        <v>98387</v>
      </c>
      <c r="B636" s="1" t="str">
        <f>"45104"</f>
        <v>45104</v>
      </c>
      <c r="C636" s="1" t="str">
        <f>"SPANAWAY"</f>
        <v>SPANAWAY</v>
      </c>
      <c r="D636" s="1" t="str">
        <f t="shared" si="52"/>
        <v>WA</v>
      </c>
      <c r="E636" s="2">
        <v>1</v>
      </c>
      <c r="F636" s="2">
        <v>1</v>
      </c>
      <c r="G636" s="2">
        <v>1</v>
      </c>
      <c r="H636" s="2">
        <v>1</v>
      </c>
    </row>
    <row r="637" spans="1:8" x14ac:dyDescent="0.25">
      <c r="A637" s="1" t="str">
        <f>"98333"</f>
        <v>98333</v>
      </c>
      <c r="B637" s="1" t="str">
        <f>"45104"</f>
        <v>45104</v>
      </c>
      <c r="C637" s="1" t="str">
        <f>"FOX ISLAND"</f>
        <v>FOX ISLAND</v>
      </c>
      <c r="D637" s="1" t="str">
        <f t="shared" si="52"/>
        <v>WA</v>
      </c>
      <c r="E637" s="2">
        <v>1</v>
      </c>
      <c r="F637" s="2">
        <v>1</v>
      </c>
      <c r="G637" s="2">
        <v>1</v>
      </c>
      <c r="H637" s="2">
        <v>1</v>
      </c>
    </row>
    <row r="638" spans="1:8" x14ac:dyDescent="0.25">
      <c r="A638" s="1" t="str">
        <f>"98104"</f>
        <v>98104</v>
      </c>
      <c r="B638" s="1" t="str">
        <f>"42644"</f>
        <v>42644</v>
      </c>
      <c r="C638" s="1" t="str">
        <f>"SEATTLE"</f>
        <v>SEATTLE</v>
      </c>
      <c r="D638" s="1" t="str">
        <f t="shared" si="52"/>
        <v>WA</v>
      </c>
      <c r="E638" s="2">
        <v>1</v>
      </c>
      <c r="F638" s="2">
        <v>1</v>
      </c>
      <c r="G638" s="2">
        <v>1</v>
      </c>
      <c r="H638" s="2">
        <v>1</v>
      </c>
    </row>
    <row r="639" spans="1:8" x14ac:dyDescent="0.25">
      <c r="A639" s="1" t="str">
        <f>"98105"</f>
        <v>98105</v>
      </c>
      <c r="B639" s="1" t="str">
        <f>"42644"</f>
        <v>42644</v>
      </c>
      <c r="C639" s="1" t="str">
        <f>"SEATTLE"</f>
        <v>SEATTLE</v>
      </c>
      <c r="D639" s="1" t="str">
        <f t="shared" si="52"/>
        <v>WA</v>
      </c>
      <c r="E639" s="2">
        <v>1</v>
      </c>
      <c r="F639" s="2">
        <v>1</v>
      </c>
      <c r="G639" s="2">
        <v>1</v>
      </c>
      <c r="H639" s="2">
        <v>1</v>
      </c>
    </row>
    <row r="640" spans="1:8" x14ac:dyDescent="0.25">
      <c r="A640" s="1" t="str">
        <f>"08855"</f>
        <v>08855</v>
      </c>
      <c r="B640" s="1" t="str">
        <f>"35154"</f>
        <v>35154</v>
      </c>
      <c r="C640" s="1" t="str">
        <f>"PISCATAWAY"</f>
        <v>PISCATAWAY</v>
      </c>
      <c r="D640" s="1" t="str">
        <f>"NJ"</f>
        <v>NJ</v>
      </c>
      <c r="E640" s="2">
        <v>1</v>
      </c>
      <c r="F640" s="2">
        <v>1</v>
      </c>
      <c r="G640" s="2">
        <v>1</v>
      </c>
      <c r="H640" s="2">
        <v>1</v>
      </c>
    </row>
    <row r="641" spans="1:8" x14ac:dyDescent="0.25">
      <c r="A641" s="1" t="str">
        <f>"10524"</f>
        <v>10524</v>
      </c>
      <c r="B641" s="1" t="str">
        <f>"35614"</f>
        <v>35614</v>
      </c>
      <c r="C641" s="1" t="str">
        <f>"GARRISON"</f>
        <v>GARRISON</v>
      </c>
      <c r="D641" s="1" t="str">
        <f>"NY"</f>
        <v>NY</v>
      </c>
      <c r="E641" s="2">
        <v>1</v>
      </c>
      <c r="F641" s="2">
        <v>1</v>
      </c>
      <c r="G641" s="2">
        <v>1</v>
      </c>
      <c r="H641" s="2">
        <v>1</v>
      </c>
    </row>
    <row r="642" spans="1:8" x14ac:dyDescent="0.25">
      <c r="A642" s="1" t="str">
        <f>"18076"</f>
        <v>18076</v>
      </c>
      <c r="B642" s="1" t="str">
        <f>"33874"</f>
        <v>33874</v>
      </c>
      <c r="C642" s="1" t="str">
        <f>"RED HILL"</f>
        <v>RED HILL</v>
      </c>
      <c r="D642" s="1" t="str">
        <f>"PA"</f>
        <v>PA</v>
      </c>
      <c r="E642" s="2">
        <v>1</v>
      </c>
      <c r="F642" s="2">
        <v>1</v>
      </c>
      <c r="G642" s="2">
        <v>1</v>
      </c>
      <c r="H642" s="2">
        <v>1</v>
      </c>
    </row>
    <row r="643" spans="1:8" x14ac:dyDescent="0.25">
      <c r="A643" s="1" t="str">
        <f>"20052"</f>
        <v>20052</v>
      </c>
      <c r="B643" s="1" t="str">
        <f>"47894"</f>
        <v>47894</v>
      </c>
      <c r="C643" s="1" t="str">
        <f>"WASHINGTON"</f>
        <v>WASHINGTON</v>
      </c>
      <c r="D643" s="1" t="str">
        <f>"DC"</f>
        <v>DC</v>
      </c>
      <c r="E643" s="2">
        <v>1</v>
      </c>
      <c r="F643" s="2">
        <v>1</v>
      </c>
      <c r="G643" s="2">
        <v>1</v>
      </c>
      <c r="H643" s="2">
        <v>1</v>
      </c>
    </row>
    <row r="644" spans="1:8" x14ac:dyDescent="0.25">
      <c r="A644" s="1" t="str">
        <f>"90072"</f>
        <v>90072</v>
      </c>
      <c r="B644" s="1" t="str">
        <f>"31084"</f>
        <v>31084</v>
      </c>
      <c r="C644" s="1" t="str">
        <f>"LOS ANGELES"</f>
        <v>LOS ANGELES</v>
      </c>
      <c r="D644" s="1" t="str">
        <f>"CA"</f>
        <v>CA</v>
      </c>
      <c r="E644" s="2">
        <v>1</v>
      </c>
      <c r="F644" s="2">
        <v>1</v>
      </c>
      <c r="G644" s="2">
        <v>1</v>
      </c>
      <c r="H644" s="2">
        <v>1</v>
      </c>
    </row>
    <row r="645" spans="1:8" x14ac:dyDescent="0.25">
      <c r="A645" s="1" t="str">
        <f>"91077"</f>
        <v>91077</v>
      </c>
      <c r="B645" s="1" t="str">
        <f>"31084"</f>
        <v>31084</v>
      </c>
      <c r="C645" s="1" t="str">
        <f>"ARCADIA"</f>
        <v>ARCADIA</v>
      </c>
      <c r="D645" s="1" t="str">
        <f>"CA"</f>
        <v>CA</v>
      </c>
      <c r="E645" s="2">
        <v>1</v>
      </c>
      <c r="F645" s="2">
        <v>1</v>
      </c>
      <c r="G645" s="2">
        <v>1</v>
      </c>
      <c r="H645" s="2">
        <v>1</v>
      </c>
    </row>
    <row r="646" spans="1:8" x14ac:dyDescent="0.25">
      <c r="A646" s="1" t="str">
        <f>"91221"</f>
        <v>91221</v>
      </c>
      <c r="B646" s="1" t="str">
        <f>"31084"</f>
        <v>31084</v>
      </c>
      <c r="C646" s="1" t="str">
        <f>"GLENDALE"</f>
        <v>GLENDALE</v>
      </c>
      <c r="D646" s="1" t="str">
        <f>"CA"</f>
        <v>CA</v>
      </c>
      <c r="E646" s="2">
        <v>1</v>
      </c>
      <c r="F646" s="2">
        <v>1</v>
      </c>
      <c r="G646" s="2">
        <v>1</v>
      </c>
      <c r="H646" s="2">
        <v>1</v>
      </c>
    </row>
    <row r="647" spans="1:8" x14ac:dyDescent="0.25">
      <c r="A647" s="1" t="str">
        <f>"94540"</f>
        <v>94540</v>
      </c>
      <c r="B647" s="1" t="str">
        <f>"36084"</f>
        <v>36084</v>
      </c>
      <c r="C647" s="1" t="str">
        <f>"HAYWARD"</f>
        <v>HAYWARD</v>
      </c>
      <c r="D647" s="1" t="str">
        <f>"CA"</f>
        <v>CA</v>
      </c>
      <c r="E647" s="2">
        <v>1</v>
      </c>
      <c r="F647" s="2">
        <v>1</v>
      </c>
      <c r="G647" s="2">
        <v>1</v>
      </c>
      <c r="H647" s="2">
        <v>1</v>
      </c>
    </row>
    <row r="648" spans="1:8" x14ac:dyDescent="0.25">
      <c r="A648" s="1" t="str">
        <f>"98139"</f>
        <v>98139</v>
      </c>
      <c r="B648" s="1" t="str">
        <f>"42644"</f>
        <v>42644</v>
      </c>
      <c r="C648" s="1" t="str">
        <f>"SEATTLE"</f>
        <v>SEATTLE</v>
      </c>
      <c r="D648" s="1" t="str">
        <f>"WA"</f>
        <v>WA</v>
      </c>
      <c r="E648" s="2">
        <v>1</v>
      </c>
      <c r="F648" s="2">
        <v>1</v>
      </c>
      <c r="G648" s="2">
        <v>1</v>
      </c>
      <c r="H648" s="2">
        <v>1</v>
      </c>
    </row>
    <row r="649" spans="1:8" x14ac:dyDescent="0.25">
      <c r="A649" s="1" t="str">
        <f>"98421"</f>
        <v>98421</v>
      </c>
      <c r="B649" s="1" t="str">
        <f>"45104"</f>
        <v>45104</v>
      </c>
      <c r="C649" s="1" t="str">
        <f>"TACOMA"</f>
        <v>TACOMA</v>
      </c>
      <c r="D649" s="1" t="str">
        <f>"WA"</f>
        <v>WA</v>
      </c>
      <c r="E649" s="2">
        <v>1</v>
      </c>
      <c r="F649" s="2">
        <v>1</v>
      </c>
      <c r="G649" s="2">
        <v>1</v>
      </c>
      <c r="H649" s="2">
        <v>1</v>
      </c>
    </row>
    <row r="650" spans="1:8" x14ac:dyDescent="0.25">
      <c r="A650" s="1" t="str">
        <f>"07653"</f>
        <v>07653</v>
      </c>
      <c r="B650" s="1" t="str">
        <f>"35614"</f>
        <v>35614</v>
      </c>
      <c r="C650" s="1" t="str">
        <f>"PARAMUS"</f>
        <v>PARAMUS</v>
      </c>
      <c r="D650" s="1" t="str">
        <f>"NJ"</f>
        <v>NJ</v>
      </c>
      <c r="E650" s="2">
        <v>1</v>
      </c>
      <c r="F650" s="2">
        <v>1</v>
      </c>
      <c r="G650" s="2">
        <v>1</v>
      </c>
      <c r="H650" s="2">
        <v>1</v>
      </c>
    </row>
    <row r="651" spans="1:8" x14ac:dyDescent="0.25">
      <c r="A651" s="1" t="str">
        <f>"23024"</f>
        <v>23024</v>
      </c>
      <c r="B651" s="1" t="str">
        <f>"47894"</f>
        <v>47894</v>
      </c>
      <c r="C651" s="1" t="str">
        <f>"BUMPASS"</f>
        <v>BUMPASS</v>
      </c>
      <c r="D651" s="1" t="str">
        <f>"VA"</f>
        <v>VA</v>
      </c>
      <c r="E651" s="2">
        <v>1</v>
      </c>
      <c r="F651" s="2">
        <v>1</v>
      </c>
      <c r="G651" s="2">
        <v>0</v>
      </c>
      <c r="H651" s="2">
        <v>1</v>
      </c>
    </row>
    <row r="652" spans="1:8" x14ac:dyDescent="0.25">
      <c r="A652" s="1" t="str">
        <f>"33002"</f>
        <v>33002</v>
      </c>
      <c r="B652" s="1" t="str">
        <f>"33124"</f>
        <v>33124</v>
      </c>
      <c r="C652" s="1" t="str">
        <f>"HIALEAH"</f>
        <v>HIALEAH</v>
      </c>
      <c r="D652" s="1" t="str">
        <f>"FL"</f>
        <v>FL</v>
      </c>
      <c r="E652" s="2">
        <v>1</v>
      </c>
      <c r="F652" s="2">
        <v>1</v>
      </c>
      <c r="G652" s="2">
        <v>1</v>
      </c>
      <c r="H652" s="2">
        <v>1</v>
      </c>
    </row>
    <row r="653" spans="1:8" x14ac:dyDescent="0.25">
      <c r="A653" s="1" t="str">
        <f>"91769"</f>
        <v>91769</v>
      </c>
      <c r="B653" s="1" t="str">
        <f>"31084"</f>
        <v>31084</v>
      </c>
      <c r="C653" s="1" t="str">
        <f>"POMONA"</f>
        <v>POMONA</v>
      </c>
      <c r="D653" s="1" t="str">
        <f>"CA"</f>
        <v>CA</v>
      </c>
      <c r="E653" s="2">
        <v>1</v>
      </c>
      <c r="F653" s="2">
        <v>1</v>
      </c>
      <c r="G653" s="2">
        <v>1</v>
      </c>
      <c r="H653" s="2">
        <v>1</v>
      </c>
    </row>
    <row r="654" spans="1:8" x14ac:dyDescent="0.25">
      <c r="A654" s="1" t="str">
        <f>"07077"</f>
        <v>07077</v>
      </c>
      <c r="B654" s="1" t="str">
        <f>"35154"</f>
        <v>35154</v>
      </c>
      <c r="C654" s="1" t="str">
        <f>"SEWAREN"</f>
        <v>SEWAREN</v>
      </c>
      <c r="D654" s="1" t="str">
        <f>"NJ"</f>
        <v>NJ</v>
      </c>
      <c r="E654" s="2">
        <v>1</v>
      </c>
      <c r="F654" s="2">
        <v>1</v>
      </c>
      <c r="G654" s="2">
        <v>1</v>
      </c>
      <c r="H654" s="2">
        <v>1</v>
      </c>
    </row>
    <row r="655" spans="1:8" x14ac:dyDescent="0.25">
      <c r="A655" s="1" t="str">
        <f>"22216"</f>
        <v>22216</v>
      </c>
      <c r="B655" s="1" t="str">
        <f>"47894"</f>
        <v>47894</v>
      </c>
      <c r="C655" s="1" t="str">
        <f>"ARLINGTON"</f>
        <v>ARLINGTON</v>
      </c>
      <c r="D655" s="1" t="str">
        <f>"VA"</f>
        <v>VA</v>
      </c>
      <c r="E655" s="2">
        <v>1</v>
      </c>
      <c r="F655" s="2">
        <v>1</v>
      </c>
      <c r="G655" s="2">
        <v>1</v>
      </c>
      <c r="H655" s="2">
        <v>1</v>
      </c>
    </row>
    <row r="656" spans="1:8" x14ac:dyDescent="0.25">
      <c r="A656" s="1" t="str">
        <f>"33233"</f>
        <v>33233</v>
      </c>
      <c r="B656" s="1" t="str">
        <f>"33124"</f>
        <v>33124</v>
      </c>
      <c r="C656" s="1" t="str">
        <f>"MIAMI"</f>
        <v>MIAMI</v>
      </c>
      <c r="D656" s="1" t="str">
        <f>"FL"</f>
        <v>FL</v>
      </c>
      <c r="E656" s="2">
        <v>1</v>
      </c>
      <c r="F656" s="2">
        <v>1</v>
      </c>
      <c r="G656" s="2">
        <v>1</v>
      </c>
      <c r="H656" s="2">
        <v>1</v>
      </c>
    </row>
    <row r="657" spans="1:8" x14ac:dyDescent="0.25">
      <c r="A657" s="1" t="str">
        <f>"98438"</f>
        <v>98438</v>
      </c>
      <c r="B657" s="1" t="str">
        <f>"45104"</f>
        <v>45104</v>
      </c>
      <c r="C657" s="1" t="str">
        <f>"MCCHORD AFB"</f>
        <v>MCCHORD AFB</v>
      </c>
      <c r="D657" s="1" t="str">
        <f>"WA"</f>
        <v>WA</v>
      </c>
      <c r="E657" s="2">
        <v>1</v>
      </c>
      <c r="F657" s="2">
        <v>1</v>
      </c>
      <c r="G657" s="2">
        <v>1</v>
      </c>
      <c r="H657" s="2">
        <v>1</v>
      </c>
    </row>
    <row r="658" spans="1:8" x14ac:dyDescent="0.25">
      <c r="A658" s="1" t="str">
        <f>"11931"</f>
        <v>11931</v>
      </c>
      <c r="B658" s="1" t="str">
        <f>"35004"</f>
        <v>35004</v>
      </c>
      <c r="C658" s="1" t="str">
        <f>"AQUEBOGUE"</f>
        <v>AQUEBOGUE</v>
      </c>
      <c r="D658" s="1" t="str">
        <f>"NY"</f>
        <v>NY</v>
      </c>
      <c r="E658" s="2">
        <v>1</v>
      </c>
      <c r="F658" s="2">
        <v>1</v>
      </c>
      <c r="G658" s="2">
        <v>1</v>
      </c>
      <c r="H658" s="2">
        <v>1</v>
      </c>
    </row>
    <row r="659" spans="1:8" x14ac:dyDescent="0.25">
      <c r="A659" s="1" t="str">
        <f>"12533"</f>
        <v>12533</v>
      </c>
      <c r="B659" s="1" t="str">
        <f>"35614"</f>
        <v>35614</v>
      </c>
      <c r="C659" s="1" t="str">
        <f>"HOPEWELL JUNCTION"</f>
        <v>HOPEWELL JUNCTION</v>
      </c>
      <c r="D659" s="1" t="str">
        <f>"NY"</f>
        <v>NY</v>
      </c>
      <c r="E659" s="2">
        <v>1</v>
      </c>
      <c r="F659" s="2">
        <v>0</v>
      </c>
      <c r="G659" s="2">
        <v>1</v>
      </c>
      <c r="H659" s="2">
        <v>1</v>
      </c>
    </row>
    <row r="660" spans="1:8" x14ac:dyDescent="0.25">
      <c r="A660" s="1" t="str">
        <f>"22116"</f>
        <v>22116</v>
      </c>
      <c r="B660" s="1" t="str">
        <f>"47894"</f>
        <v>47894</v>
      </c>
      <c r="C660" s="1" t="str">
        <f>"MERRIFIELD"</f>
        <v>MERRIFIELD</v>
      </c>
      <c r="D660" s="1" t="str">
        <f>"VA"</f>
        <v>VA</v>
      </c>
      <c r="E660" s="2">
        <v>1</v>
      </c>
      <c r="F660" s="2">
        <v>1</v>
      </c>
      <c r="G660" s="2">
        <v>1</v>
      </c>
      <c r="H660" s="2">
        <v>1</v>
      </c>
    </row>
    <row r="661" spans="1:8" x14ac:dyDescent="0.25">
      <c r="A661" s="1" t="str">
        <f>"98064"</f>
        <v>98064</v>
      </c>
      <c r="B661" s="1" t="str">
        <f>"42644"</f>
        <v>42644</v>
      </c>
      <c r="C661" s="1" t="str">
        <f>"KENT"</f>
        <v>KENT</v>
      </c>
      <c r="D661" s="1" t="str">
        <f>"WA"</f>
        <v>WA</v>
      </c>
      <c r="E661" s="2">
        <v>1</v>
      </c>
      <c r="F661" s="2">
        <v>1</v>
      </c>
      <c r="G661" s="2">
        <v>1</v>
      </c>
      <c r="H661" s="2">
        <v>1</v>
      </c>
    </row>
    <row r="662" spans="1:8" x14ac:dyDescent="0.25">
      <c r="A662" s="1" t="str">
        <f>"02471"</f>
        <v>02471</v>
      </c>
      <c r="B662" s="1" t="str">
        <f>"15764"</f>
        <v>15764</v>
      </c>
      <c r="C662" s="1" t="str">
        <f>"WATERTOWN"</f>
        <v>WATERTOWN</v>
      </c>
      <c r="D662" s="1" t="str">
        <f>"MA"</f>
        <v>MA</v>
      </c>
      <c r="E662" s="2">
        <v>1</v>
      </c>
      <c r="F662" s="2">
        <v>1</v>
      </c>
      <c r="G662" s="2">
        <v>1</v>
      </c>
      <c r="H662" s="2">
        <v>1</v>
      </c>
    </row>
    <row r="663" spans="1:8" x14ac:dyDescent="0.25">
      <c r="A663" s="1" t="str">
        <f>"19028"</f>
        <v>19028</v>
      </c>
      <c r="B663" s="1" t="str">
        <f>"37964"</f>
        <v>37964</v>
      </c>
      <c r="C663" s="1" t="str">
        <f>"EDGEMONT"</f>
        <v>EDGEMONT</v>
      </c>
      <c r="D663" s="1" t="str">
        <f>"PA"</f>
        <v>PA</v>
      </c>
      <c r="E663" s="2">
        <v>1</v>
      </c>
      <c r="F663" s="2">
        <v>1</v>
      </c>
      <c r="G663" s="2">
        <v>1</v>
      </c>
      <c r="H663" s="2">
        <v>1</v>
      </c>
    </row>
    <row r="664" spans="1:8" x14ac:dyDescent="0.25">
      <c r="A664" s="1" t="str">
        <f>"98063"</f>
        <v>98063</v>
      </c>
      <c r="B664" s="1" t="str">
        <f>"42644"</f>
        <v>42644</v>
      </c>
      <c r="C664" s="1" t="str">
        <f>"FEDERAL WAY"</f>
        <v>FEDERAL WAY</v>
      </c>
      <c r="D664" s="1" t="str">
        <f>"WA"</f>
        <v>WA</v>
      </c>
      <c r="E664" s="2">
        <v>1</v>
      </c>
      <c r="F664" s="2">
        <v>1</v>
      </c>
      <c r="G664" s="2">
        <v>1</v>
      </c>
      <c r="H664" s="2">
        <v>1</v>
      </c>
    </row>
    <row r="665" spans="1:8" x14ac:dyDescent="0.25">
      <c r="A665" s="1" t="str">
        <f>"90081"</f>
        <v>90081</v>
      </c>
      <c r="B665" s="1" t="str">
        <f>"31084"</f>
        <v>31084</v>
      </c>
      <c r="C665" s="1" t="str">
        <f>"LOS ANGELES"</f>
        <v>LOS ANGELES</v>
      </c>
      <c r="D665" s="1" t="str">
        <f>"CA"</f>
        <v>CA</v>
      </c>
      <c r="E665" s="2">
        <v>1</v>
      </c>
      <c r="F665" s="2">
        <v>1</v>
      </c>
      <c r="G665" s="2">
        <v>1</v>
      </c>
      <c r="H665" s="2">
        <v>1</v>
      </c>
    </row>
    <row r="666" spans="1:8" x14ac:dyDescent="0.25">
      <c r="A666" s="1" t="str">
        <f>"11252"</f>
        <v>11252</v>
      </c>
      <c r="B666" s="1" t="str">
        <f>"35614"</f>
        <v>35614</v>
      </c>
      <c r="C666" s="1" t="str">
        <f>"BROOKLYN"</f>
        <v>BROOKLYN</v>
      </c>
      <c r="D666" s="1" t="str">
        <f>"NY"</f>
        <v>NY</v>
      </c>
      <c r="E666" s="2">
        <v>0</v>
      </c>
      <c r="F666" s="2">
        <v>1</v>
      </c>
      <c r="G666" s="2">
        <v>1</v>
      </c>
      <c r="H666" s="2">
        <v>1</v>
      </c>
    </row>
    <row r="667" spans="1:8" x14ac:dyDescent="0.25">
      <c r="A667" s="1" t="str">
        <f>"08556"</f>
        <v>08556</v>
      </c>
      <c r="B667" s="1" t="str">
        <f>"35084"</f>
        <v>35084</v>
      </c>
      <c r="C667" s="1" t="str">
        <f>"ROSEMONT"</f>
        <v>ROSEMONT</v>
      </c>
      <c r="D667" s="1" t="str">
        <f>"NJ"</f>
        <v>NJ</v>
      </c>
      <c r="E667" s="2">
        <v>1</v>
      </c>
      <c r="F667" s="2">
        <v>1</v>
      </c>
      <c r="G667" s="2">
        <v>1</v>
      </c>
      <c r="H667" s="2">
        <v>1</v>
      </c>
    </row>
    <row r="668" spans="1:8" x14ac:dyDescent="0.25">
      <c r="A668" s="1" t="str">
        <f>"20738"</f>
        <v>20738</v>
      </c>
      <c r="B668" s="1" t="str">
        <f>"47894"</f>
        <v>47894</v>
      </c>
      <c r="C668" s="1" t="str">
        <f>"RIVERDALE"</f>
        <v>RIVERDALE</v>
      </c>
      <c r="D668" s="1" t="str">
        <f>"MD"</f>
        <v>MD</v>
      </c>
      <c r="E668" s="2">
        <v>1</v>
      </c>
      <c r="F668" s="2">
        <v>1</v>
      </c>
      <c r="G668" s="2">
        <v>1</v>
      </c>
      <c r="H668" s="2">
        <v>1</v>
      </c>
    </row>
    <row r="669" spans="1:8" x14ac:dyDescent="0.25">
      <c r="A669" s="1" t="str">
        <f>"21719"</f>
        <v>21719</v>
      </c>
      <c r="B669" s="1" t="str">
        <f>"23224"</f>
        <v>23224</v>
      </c>
      <c r="C669" s="1" t="str">
        <f>"CASCADE"</f>
        <v>CASCADE</v>
      </c>
      <c r="D669" s="1" t="str">
        <f>"MD"</f>
        <v>MD</v>
      </c>
      <c r="E669" s="2">
        <v>1</v>
      </c>
      <c r="F669" s="2">
        <v>1</v>
      </c>
      <c r="G669" s="2">
        <v>0</v>
      </c>
      <c r="H669" s="2">
        <v>1</v>
      </c>
    </row>
    <row r="670" spans="1:8" x14ac:dyDescent="0.25">
      <c r="A670" s="1" t="str">
        <f>"02327"</f>
        <v>02327</v>
      </c>
      <c r="B670" s="1" t="str">
        <f>"14454"</f>
        <v>14454</v>
      </c>
      <c r="C670" s="1" t="str">
        <f>"BRYANTVILLE"</f>
        <v>BRYANTVILLE</v>
      </c>
      <c r="D670" s="1" t="str">
        <f>"MA"</f>
        <v>MA</v>
      </c>
      <c r="E670" s="2">
        <v>1</v>
      </c>
      <c r="F670" s="2">
        <v>1</v>
      </c>
      <c r="G670" s="2">
        <v>1</v>
      </c>
      <c r="H670" s="2">
        <v>1</v>
      </c>
    </row>
    <row r="671" spans="1:8" x14ac:dyDescent="0.25">
      <c r="A671" s="1" t="str">
        <f>"08072"</f>
        <v>08072</v>
      </c>
      <c r="B671" s="1" t="str">
        <f>"48864"</f>
        <v>48864</v>
      </c>
      <c r="C671" s="1" t="str">
        <f>"QUINTON"</f>
        <v>QUINTON</v>
      </c>
      <c r="D671" s="1" t="str">
        <f>"NJ"</f>
        <v>NJ</v>
      </c>
      <c r="E671" s="2">
        <v>1</v>
      </c>
      <c r="F671" s="2">
        <v>0</v>
      </c>
      <c r="G671" s="2">
        <v>1</v>
      </c>
      <c r="H671" s="2">
        <v>1</v>
      </c>
    </row>
    <row r="672" spans="1:8" x14ac:dyDescent="0.25">
      <c r="A672" s="1" t="str">
        <f>"20289"</f>
        <v>20289</v>
      </c>
      <c r="B672" s="1" t="str">
        <f>"47894"</f>
        <v>47894</v>
      </c>
      <c r="C672" s="1" t="str">
        <f>"WASHINGTON"</f>
        <v>WASHINGTON</v>
      </c>
      <c r="D672" s="1" t="str">
        <f>"DC"</f>
        <v>DC</v>
      </c>
      <c r="E672" s="2">
        <v>0</v>
      </c>
      <c r="F672" s="2">
        <v>1</v>
      </c>
      <c r="G672" s="2">
        <v>0</v>
      </c>
      <c r="H672" s="2">
        <v>1</v>
      </c>
    </row>
    <row r="673" spans="1:8" x14ac:dyDescent="0.25">
      <c r="A673" s="1" t="str">
        <f>"10041"</f>
        <v>10041</v>
      </c>
      <c r="B673" s="1" t="str">
        <f>"35614"</f>
        <v>35614</v>
      </c>
      <c r="C673" s="1" t="str">
        <f>"NEW YORK"</f>
        <v>NEW YORK</v>
      </c>
      <c r="D673" s="1" t="str">
        <f>"NY"</f>
        <v>NY</v>
      </c>
      <c r="E673" s="2">
        <v>0</v>
      </c>
      <c r="F673" s="2">
        <v>1</v>
      </c>
      <c r="G673" s="2">
        <v>1</v>
      </c>
      <c r="H673" s="2">
        <v>1</v>
      </c>
    </row>
    <row r="674" spans="1:8" x14ac:dyDescent="0.25">
      <c r="A674" s="1" t="str">
        <f>"02356"</f>
        <v>02356</v>
      </c>
      <c r="B674" s="1" t="str">
        <f>"14454"</f>
        <v>14454</v>
      </c>
      <c r="C674" s="1" t="str">
        <f>"NORTH EASTON"</f>
        <v>NORTH EASTON</v>
      </c>
      <c r="D674" s="1" t="str">
        <f>"MA"</f>
        <v>MA</v>
      </c>
      <c r="E674" s="2">
        <v>1</v>
      </c>
      <c r="F674" s="2">
        <v>0</v>
      </c>
      <c r="G674" s="2">
        <v>0</v>
      </c>
      <c r="H674" s="2">
        <v>1</v>
      </c>
    </row>
    <row r="675" spans="1:8" x14ac:dyDescent="0.25">
      <c r="A675" s="1" t="str">
        <f>"20254"</f>
        <v>20254</v>
      </c>
      <c r="B675" s="1" t="str">
        <f>"47894"</f>
        <v>47894</v>
      </c>
      <c r="C675" s="1" t="str">
        <f>"WASHINGTON"</f>
        <v>WASHINGTON</v>
      </c>
      <c r="D675" s="1" t="str">
        <f>"DC"</f>
        <v>DC</v>
      </c>
      <c r="E675" s="2">
        <v>0</v>
      </c>
      <c r="F675" s="2">
        <v>1</v>
      </c>
      <c r="G675" s="2">
        <v>0</v>
      </c>
      <c r="H675" s="2">
        <v>1</v>
      </c>
    </row>
    <row r="676" spans="1:8" x14ac:dyDescent="0.25">
      <c r="A676" s="1" t="str">
        <f>"20211"</f>
        <v>20211</v>
      </c>
      <c r="B676" s="1" t="str">
        <f>"47894"</f>
        <v>47894</v>
      </c>
      <c r="C676" s="1" t="str">
        <f>"WASHINGTON"</f>
        <v>WASHINGTON</v>
      </c>
      <c r="D676" s="1" t="str">
        <f>"DC"</f>
        <v>DC</v>
      </c>
      <c r="E676" s="2">
        <v>0</v>
      </c>
      <c r="F676" s="2">
        <v>1</v>
      </c>
      <c r="G676" s="2">
        <v>0</v>
      </c>
      <c r="H676" s="2">
        <v>1</v>
      </c>
    </row>
    <row r="677" spans="1:8" x14ac:dyDescent="0.25">
      <c r="A677" s="1" t="str">
        <f>"60038"</f>
        <v>60038</v>
      </c>
      <c r="B677" s="1" t="str">
        <f>"16984"</f>
        <v>16984</v>
      </c>
      <c r="C677" s="1" t="str">
        <f>"PALATINE"</f>
        <v>PALATINE</v>
      </c>
      <c r="D677" s="1" t="str">
        <f>"IL"</f>
        <v>IL</v>
      </c>
      <c r="E677" s="2">
        <v>0</v>
      </c>
      <c r="F677" s="2">
        <v>1</v>
      </c>
      <c r="G677" s="2">
        <v>0</v>
      </c>
      <c r="H677" s="2">
        <v>1</v>
      </c>
    </row>
    <row r="678" spans="1:8" x14ac:dyDescent="0.25">
      <c r="A678" s="1" t="str">
        <f>"20439"</f>
        <v>20439</v>
      </c>
      <c r="B678" s="1" t="str">
        <f>"47894"</f>
        <v>47894</v>
      </c>
      <c r="C678" s="1" t="str">
        <f>"WASHINGTON"</f>
        <v>WASHINGTON</v>
      </c>
      <c r="D678" s="1" t="str">
        <f>"DC"</f>
        <v>DC</v>
      </c>
      <c r="E678" s="2">
        <v>0</v>
      </c>
      <c r="F678" s="2">
        <v>1</v>
      </c>
      <c r="G678" s="2">
        <v>0</v>
      </c>
      <c r="H678" s="2">
        <v>1</v>
      </c>
    </row>
    <row r="679" spans="1:8" x14ac:dyDescent="0.25">
      <c r="A679" s="1" t="str">
        <f>"20128"</f>
        <v>20128</v>
      </c>
      <c r="B679" s="1" t="str">
        <f>"47894"</f>
        <v>47894</v>
      </c>
      <c r="C679" s="1" t="str">
        <f>"ORLEAN"</f>
        <v>ORLEAN</v>
      </c>
      <c r="D679" s="1" t="str">
        <f>"VA"</f>
        <v>VA</v>
      </c>
      <c r="E679" s="2">
        <v>0</v>
      </c>
      <c r="F679" s="2">
        <v>1</v>
      </c>
      <c r="G679" s="2">
        <v>0</v>
      </c>
      <c r="H679" s="2">
        <v>1</v>
      </c>
    </row>
    <row r="680" spans="1:8" x14ac:dyDescent="0.25">
      <c r="A680" s="1" t="str">
        <f>"02375"</f>
        <v>02375</v>
      </c>
      <c r="B680" s="1" t="str">
        <f>"14454"</f>
        <v>14454</v>
      </c>
      <c r="C680" s="1" t="str">
        <f>"SOUTH EASTON"</f>
        <v>SOUTH EASTON</v>
      </c>
      <c r="D680" s="1" t="str">
        <f>"MA"</f>
        <v>MA</v>
      </c>
      <c r="E680" s="2">
        <v>0</v>
      </c>
      <c r="F680" s="2">
        <v>1</v>
      </c>
      <c r="G680" s="2">
        <v>0</v>
      </c>
      <c r="H680" s="2">
        <v>1</v>
      </c>
    </row>
    <row r="681" spans="1:8" x14ac:dyDescent="0.25">
      <c r="A681" s="1" t="str">
        <f>"19470"</f>
        <v>19470</v>
      </c>
      <c r="B681" s="1" t="str">
        <f>"33874"</f>
        <v>33874</v>
      </c>
      <c r="C681" s="1" t="str">
        <f>"SAINT PETERS"</f>
        <v>SAINT PETERS</v>
      </c>
      <c r="D681" s="1" t="str">
        <f>"PA"</f>
        <v>PA</v>
      </c>
      <c r="E681" s="2">
        <v>0</v>
      </c>
      <c r="F681" s="2">
        <v>1</v>
      </c>
      <c r="G681" s="2">
        <v>0</v>
      </c>
      <c r="H681" s="2">
        <v>1</v>
      </c>
    </row>
    <row r="682" spans="1:8" x14ac:dyDescent="0.25">
      <c r="A682" s="1" t="str">
        <f>"10212"</f>
        <v>10212</v>
      </c>
      <c r="B682" s="1" t="str">
        <f>"35614"</f>
        <v>35614</v>
      </c>
      <c r="C682" s="1" t="str">
        <f>"NEW YORK"</f>
        <v>NEW YORK</v>
      </c>
      <c r="D682" s="1" t="str">
        <f>"NY"</f>
        <v>NY</v>
      </c>
      <c r="E682" s="2">
        <v>0</v>
      </c>
      <c r="F682" s="2">
        <v>0</v>
      </c>
      <c r="G682" s="2">
        <v>1</v>
      </c>
      <c r="H682" s="2">
        <v>1</v>
      </c>
    </row>
    <row r="683" spans="1:8" x14ac:dyDescent="0.25">
      <c r="A683" s="1" t="str">
        <f>"20579"</f>
        <v>20579</v>
      </c>
      <c r="B683" s="1" t="str">
        <f>"47894"</f>
        <v>47894</v>
      </c>
      <c r="C683" s="1" t="str">
        <f>"WASHINGTON"</f>
        <v>WASHINGTON</v>
      </c>
      <c r="D683" s="1" t="str">
        <f>"DC"</f>
        <v>DC</v>
      </c>
      <c r="E683" s="2">
        <v>0</v>
      </c>
      <c r="F683" s="2">
        <v>1</v>
      </c>
      <c r="G683" s="2">
        <v>1</v>
      </c>
      <c r="H683" s="2">
        <v>1</v>
      </c>
    </row>
    <row r="684" spans="1:8" x14ac:dyDescent="0.25">
      <c r="A684" s="1" t="str">
        <f>"12564"</f>
        <v>12564</v>
      </c>
      <c r="B684" s="1" t="str">
        <f>"35614"</f>
        <v>35614</v>
      </c>
      <c r="C684" s="1" t="str">
        <f>"PAWLING"</f>
        <v>PAWLING</v>
      </c>
      <c r="D684" s="1" t="str">
        <f>"NY"</f>
        <v>NY</v>
      </c>
      <c r="E684" s="2">
        <v>1</v>
      </c>
      <c r="F684" s="2">
        <v>0</v>
      </c>
      <c r="G684" s="2">
        <v>0</v>
      </c>
      <c r="H684" s="2">
        <v>1</v>
      </c>
    </row>
    <row r="685" spans="1:8" x14ac:dyDescent="0.25">
      <c r="A685" s="1" t="str">
        <f>"22989"</f>
        <v>22989</v>
      </c>
      <c r="B685" s="1" t="str">
        <f>"47894"</f>
        <v>47894</v>
      </c>
      <c r="C685" s="1" t="str">
        <f>"WOODBERRY FOREST"</f>
        <v>WOODBERRY FOREST</v>
      </c>
      <c r="D685" s="1" t="str">
        <f>"VA"</f>
        <v>VA</v>
      </c>
      <c r="E685" s="2">
        <v>0</v>
      </c>
      <c r="F685" s="2">
        <v>1</v>
      </c>
      <c r="G685" s="2">
        <v>0</v>
      </c>
      <c r="H685" s="2">
        <v>1</v>
      </c>
    </row>
    <row r="686" spans="1:8" x14ac:dyDescent="0.25">
      <c r="A686" s="1" t="str">
        <f>"33206"</f>
        <v>33206</v>
      </c>
      <c r="B686" s="1" t="str">
        <f>"33124"</f>
        <v>33124</v>
      </c>
      <c r="C686" s="1" t="str">
        <f>"MIAMI"</f>
        <v>MIAMI</v>
      </c>
      <c r="D686" s="1" t="str">
        <f>"FL"</f>
        <v>FL</v>
      </c>
      <c r="E686" s="2">
        <v>0</v>
      </c>
      <c r="F686" s="2">
        <v>1</v>
      </c>
      <c r="G686" s="2">
        <v>0</v>
      </c>
      <c r="H686" s="2">
        <v>1</v>
      </c>
    </row>
    <row r="687" spans="1:8" x14ac:dyDescent="0.25">
      <c r="A687" s="1" t="str">
        <f>"20451"</f>
        <v>20451</v>
      </c>
      <c r="B687" s="1" t="str">
        <f>"47894"</f>
        <v>47894</v>
      </c>
      <c r="C687" s="1" t="str">
        <f>"WASHINGTON"</f>
        <v>WASHINGTON</v>
      </c>
      <c r="D687" s="1" t="str">
        <f>"DC"</f>
        <v>DC</v>
      </c>
      <c r="E687" s="2">
        <v>0</v>
      </c>
      <c r="F687" s="2">
        <v>1</v>
      </c>
      <c r="G687" s="2">
        <v>0</v>
      </c>
      <c r="H687" s="2">
        <v>1</v>
      </c>
    </row>
    <row r="688" spans="1:8" x14ac:dyDescent="0.25">
      <c r="A688" s="1" t="str">
        <f>"53152"</f>
        <v>53152</v>
      </c>
      <c r="B688" s="1" t="str">
        <f>"29404"</f>
        <v>29404</v>
      </c>
      <c r="C688" s="1" t="str">
        <f>"NEW MUNSTER"</f>
        <v>NEW MUNSTER</v>
      </c>
      <c r="D688" s="1" t="str">
        <f>"WI"</f>
        <v>WI</v>
      </c>
      <c r="E688" s="2">
        <v>0</v>
      </c>
      <c r="F688" s="2">
        <v>0</v>
      </c>
      <c r="G688" s="2">
        <v>1</v>
      </c>
      <c r="H688" s="2">
        <v>1</v>
      </c>
    </row>
    <row r="689" spans="1:8" x14ac:dyDescent="0.25">
      <c r="A689" s="1" t="str">
        <f>"17536"</f>
        <v>17536</v>
      </c>
      <c r="B689" s="1" t="str">
        <f>"33874"</f>
        <v>33874</v>
      </c>
      <c r="C689" s="1" t="str">
        <f>"KIRKWOOD"</f>
        <v>KIRKWOOD</v>
      </c>
      <c r="D689" s="1" t="str">
        <f>"PA"</f>
        <v>PA</v>
      </c>
      <c r="E689" s="2">
        <v>1</v>
      </c>
      <c r="F689" s="2">
        <v>0</v>
      </c>
      <c r="G689" s="2">
        <v>0</v>
      </c>
      <c r="H689" s="2">
        <v>1</v>
      </c>
    </row>
    <row r="690" spans="1:8" x14ac:dyDescent="0.25">
      <c r="A690" s="1" t="str">
        <f>"01701"</f>
        <v>01701</v>
      </c>
      <c r="B690" s="1" t="str">
        <f>"15764"</f>
        <v>15764</v>
      </c>
      <c r="C690" s="1" t="str">
        <f>"FRAMINGHAM"</f>
        <v>FRAMINGHAM</v>
      </c>
      <c r="D690" s="1" t="str">
        <f t="shared" ref="D690:D696" si="53">"MA"</f>
        <v>MA</v>
      </c>
      <c r="E690" s="2">
        <v>1</v>
      </c>
      <c r="F690" s="2">
        <v>1</v>
      </c>
      <c r="G690" s="2">
        <v>1</v>
      </c>
      <c r="H690" s="2">
        <v>1</v>
      </c>
    </row>
    <row r="691" spans="1:8" x14ac:dyDescent="0.25">
      <c r="A691" s="1" t="str">
        <f>"01702"</f>
        <v>01702</v>
      </c>
      <c r="B691" s="1" t="str">
        <f>"15764"</f>
        <v>15764</v>
      </c>
      <c r="C691" s="1" t="str">
        <f>"FRAMINGHAM"</f>
        <v>FRAMINGHAM</v>
      </c>
      <c r="D691" s="1" t="str">
        <f t="shared" si="53"/>
        <v>MA</v>
      </c>
      <c r="E691" s="2">
        <v>1</v>
      </c>
      <c r="F691" s="2">
        <v>1</v>
      </c>
      <c r="G691" s="2">
        <v>1</v>
      </c>
      <c r="H691" s="2">
        <v>1</v>
      </c>
    </row>
    <row r="692" spans="1:8" x14ac:dyDescent="0.25">
      <c r="A692" s="1" t="str">
        <f>"01834"</f>
        <v>01834</v>
      </c>
      <c r="B692" s="1" t="str">
        <f>"15764"</f>
        <v>15764</v>
      </c>
      <c r="C692" s="1" t="str">
        <f>"GROVELAND"</f>
        <v>GROVELAND</v>
      </c>
      <c r="D692" s="1" t="str">
        <f t="shared" si="53"/>
        <v>MA</v>
      </c>
      <c r="E692" s="2">
        <v>1</v>
      </c>
      <c r="F692" s="2">
        <v>1</v>
      </c>
      <c r="G692" s="2">
        <v>1</v>
      </c>
      <c r="H692" s="2">
        <v>1</v>
      </c>
    </row>
    <row r="693" spans="1:8" x14ac:dyDescent="0.25">
      <c r="A693" s="1" t="str">
        <f>"01930"</f>
        <v>01930</v>
      </c>
      <c r="B693" s="1" t="str">
        <f>"15764"</f>
        <v>15764</v>
      </c>
      <c r="C693" s="1" t="str">
        <f>"GLOUCESTER"</f>
        <v>GLOUCESTER</v>
      </c>
      <c r="D693" s="1" t="str">
        <f t="shared" si="53"/>
        <v>MA</v>
      </c>
      <c r="E693" s="2">
        <v>1</v>
      </c>
      <c r="F693" s="2">
        <v>1</v>
      </c>
      <c r="G693" s="2">
        <v>1</v>
      </c>
      <c r="H693" s="2">
        <v>1</v>
      </c>
    </row>
    <row r="694" spans="1:8" x14ac:dyDescent="0.25">
      <c r="A694" s="1" t="str">
        <f>"02038"</f>
        <v>02038</v>
      </c>
      <c r="B694" s="1" t="str">
        <f>"14454"</f>
        <v>14454</v>
      </c>
      <c r="C694" s="1" t="str">
        <f>"FRANKLIN"</f>
        <v>FRANKLIN</v>
      </c>
      <c r="D694" s="1" t="str">
        <f t="shared" si="53"/>
        <v>MA</v>
      </c>
      <c r="E694" s="2">
        <v>1</v>
      </c>
      <c r="F694" s="2">
        <v>1</v>
      </c>
      <c r="G694" s="2">
        <v>1</v>
      </c>
      <c r="H694" s="2">
        <v>1</v>
      </c>
    </row>
    <row r="695" spans="1:8" x14ac:dyDescent="0.25">
      <c r="A695" s="1" t="str">
        <f>"02081"</f>
        <v>02081</v>
      </c>
      <c r="B695" s="1" t="str">
        <f>"14454"</f>
        <v>14454</v>
      </c>
      <c r="C695" s="1" t="str">
        <f>"WALPOLE"</f>
        <v>WALPOLE</v>
      </c>
      <c r="D695" s="1" t="str">
        <f t="shared" si="53"/>
        <v>MA</v>
      </c>
      <c r="E695" s="2">
        <v>1</v>
      </c>
      <c r="F695" s="2">
        <v>1</v>
      </c>
      <c r="G695" s="2">
        <v>1</v>
      </c>
      <c r="H695" s="2">
        <v>1</v>
      </c>
    </row>
    <row r="696" spans="1:8" x14ac:dyDescent="0.25">
      <c r="A696" s="1" t="str">
        <f>"02142"</f>
        <v>02142</v>
      </c>
      <c r="B696" s="1" t="str">
        <f>"15764"</f>
        <v>15764</v>
      </c>
      <c r="C696" s="1" t="str">
        <f>"CAMBRIDGE"</f>
        <v>CAMBRIDGE</v>
      </c>
      <c r="D696" s="1" t="str">
        <f t="shared" si="53"/>
        <v>MA</v>
      </c>
      <c r="E696" s="2">
        <v>1</v>
      </c>
      <c r="F696" s="2">
        <v>1</v>
      </c>
      <c r="G696" s="2">
        <v>1</v>
      </c>
      <c r="H696" s="2">
        <v>1</v>
      </c>
    </row>
    <row r="697" spans="1:8" x14ac:dyDescent="0.25">
      <c r="A697" s="1" t="str">
        <f>"03077"</f>
        <v>03077</v>
      </c>
      <c r="B697" s="1" t="str">
        <f>"40484"</f>
        <v>40484</v>
      </c>
      <c r="C697" s="1" t="str">
        <f>"RAYMOND"</f>
        <v>RAYMOND</v>
      </c>
      <c r="D697" s="1" t="str">
        <f>"NH"</f>
        <v>NH</v>
      </c>
      <c r="E697" s="2">
        <v>1</v>
      </c>
      <c r="F697" s="2">
        <v>1</v>
      </c>
      <c r="G697" s="2">
        <v>1</v>
      </c>
      <c r="H697" s="2">
        <v>1</v>
      </c>
    </row>
    <row r="698" spans="1:8" x14ac:dyDescent="0.25">
      <c r="A698" s="1" t="str">
        <f>"03885"</f>
        <v>03885</v>
      </c>
      <c r="B698" s="1" t="str">
        <f>"40484"</f>
        <v>40484</v>
      </c>
      <c r="C698" s="1" t="str">
        <f>"STRATHAM"</f>
        <v>STRATHAM</v>
      </c>
      <c r="D698" s="1" t="str">
        <f>"NH"</f>
        <v>NH</v>
      </c>
      <c r="E698" s="2">
        <v>1</v>
      </c>
      <c r="F698" s="2">
        <v>1</v>
      </c>
      <c r="G698" s="2">
        <v>1</v>
      </c>
      <c r="H698" s="2">
        <v>1</v>
      </c>
    </row>
    <row r="699" spans="1:8" x14ac:dyDescent="0.25">
      <c r="A699" s="1" t="str">
        <f>"07006"</f>
        <v>07006</v>
      </c>
      <c r="B699" s="1" t="str">
        <f>"35614"</f>
        <v>35614</v>
      </c>
      <c r="C699" s="1" t="str">
        <f>"CALDWELL"</f>
        <v>CALDWELL</v>
      </c>
      <c r="D699" s="1" t="str">
        <f t="shared" ref="D699:D719" si="54">"NJ"</f>
        <v>NJ</v>
      </c>
      <c r="E699" s="2">
        <v>1.34576564452561E-3</v>
      </c>
      <c r="F699" s="2">
        <v>3.2327586206896499E-3</v>
      </c>
      <c r="G699" s="2">
        <v>8.1300813008130003E-3</v>
      </c>
      <c r="H699" s="2">
        <v>1.77619893428063E-3</v>
      </c>
    </row>
    <row r="700" spans="1:8" x14ac:dyDescent="0.25">
      <c r="A700" s="1" t="str">
        <f>"07006"</f>
        <v>07006</v>
      </c>
      <c r="B700" s="1" t="str">
        <f>"35084"</f>
        <v>35084</v>
      </c>
      <c r="C700" s="1" t="str">
        <f>"CALDWELL"</f>
        <v>CALDWELL</v>
      </c>
      <c r="D700" s="1" t="str">
        <f t="shared" si="54"/>
        <v>NJ</v>
      </c>
      <c r="E700" s="2">
        <v>0.99865423435547396</v>
      </c>
      <c r="F700" s="2">
        <v>0.99676724137931005</v>
      </c>
      <c r="G700" s="2">
        <v>0.99186991869918595</v>
      </c>
      <c r="H700" s="2">
        <v>0.99822380106571895</v>
      </c>
    </row>
    <row r="701" spans="1:8" x14ac:dyDescent="0.25">
      <c r="A701" s="1" t="str">
        <f>"07043"</f>
        <v>07043</v>
      </c>
      <c r="B701" s="1" t="str">
        <f>"35614"</f>
        <v>35614</v>
      </c>
      <c r="C701" s="1" t="str">
        <f>"MONTCLAIR"</f>
        <v>MONTCLAIR</v>
      </c>
      <c r="D701" s="1" t="str">
        <f t="shared" si="54"/>
        <v>NJ</v>
      </c>
      <c r="E701" s="2">
        <v>3.1527890056588501E-2</v>
      </c>
      <c r="F701" s="2">
        <v>0</v>
      </c>
      <c r="G701" s="2">
        <v>2.9914529914529898E-2</v>
      </c>
      <c r="H701" s="2">
        <v>2.8486543166724901E-2</v>
      </c>
    </row>
    <row r="702" spans="1:8" x14ac:dyDescent="0.25">
      <c r="A702" s="1" t="str">
        <f>"07043"</f>
        <v>07043</v>
      </c>
      <c r="B702" s="1" t="str">
        <f>"35084"</f>
        <v>35084</v>
      </c>
      <c r="C702" s="1" t="str">
        <f>"MONTCLAIR"</f>
        <v>MONTCLAIR</v>
      </c>
      <c r="D702" s="1" t="str">
        <f t="shared" si="54"/>
        <v>NJ</v>
      </c>
      <c r="E702" s="2">
        <v>0.96847210994341104</v>
      </c>
      <c r="F702" s="2">
        <v>1</v>
      </c>
      <c r="G702" s="2">
        <v>0.97008547008546997</v>
      </c>
      <c r="H702" s="2">
        <v>0.97151345683327495</v>
      </c>
    </row>
    <row r="703" spans="1:8" x14ac:dyDescent="0.25">
      <c r="A703" s="1" t="str">
        <f>"07059"</f>
        <v>07059</v>
      </c>
      <c r="B703" s="1" t="str">
        <f>"35154"</f>
        <v>35154</v>
      </c>
      <c r="C703" s="1" t="str">
        <f>"WARREN"</f>
        <v>WARREN</v>
      </c>
      <c r="D703" s="1" t="str">
        <f t="shared" si="54"/>
        <v>NJ</v>
      </c>
      <c r="E703" s="2">
        <v>1</v>
      </c>
      <c r="F703" s="2">
        <v>1</v>
      </c>
      <c r="G703" s="2">
        <v>1</v>
      </c>
      <c r="H703" s="2">
        <v>1</v>
      </c>
    </row>
    <row r="704" spans="1:8" x14ac:dyDescent="0.25">
      <c r="A704" s="1" t="str">
        <f>"07101"</f>
        <v>07101</v>
      </c>
      <c r="B704" s="1" t="str">
        <f>"35084"</f>
        <v>35084</v>
      </c>
      <c r="C704" s="1" t="str">
        <f>"NEWARK"</f>
        <v>NEWARK</v>
      </c>
      <c r="D704" s="1" t="str">
        <f t="shared" si="54"/>
        <v>NJ</v>
      </c>
      <c r="E704" s="2">
        <v>1</v>
      </c>
      <c r="F704" s="2">
        <v>1</v>
      </c>
      <c r="G704" s="2">
        <v>1</v>
      </c>
      <c r="H704" s="2">
        <v>1</v>
      </c>
    </row>
    <row r="705" spans="1:8" x14ac:dyDescent="0.25">
      <c r="A705" s="1" t="str">
        <f>"07112"</f>
        <v>07112</v>
      </c>
      <c r="B705" s="1" t="str">
        <f>"35084"</f>
        <v>35084</v>
      </c>
      <c r="C705" s="1" t="str">
        <f>"NEWARK"</f>
        <v>NEWARK</v>
      </c>
      <c r="D705" s="1" t="str">
        <f t="shared" si="54"/>
        <v>NJ</v>
      </c>
      <c r="E705" s="2">
        <v>1</v>
      </c>
      <c r="F705" s="2">
        <v>1</v>
      </c>
      <c r="G705" s="2">
        <v>1</v>
      </c>
      <c r="H705" s="2">
        <v>1</v>
      </c>
    </row>
    <row r="706" spans="1:8" x14ac:dyDescent="0.25">
      <c r="A706" s="1" t="str">
        <f>"07463"</f>
        <v>07463</v>
      </c>
      <c r="B706" s="1" t="str">
        <f>"35614"</f>
        <v>35614</v>
      </c>
      <c r="C706" s="1" t="str">
        <f>"WALDWICK"</f>
        <v>WALDWICK</v>
      </c>
      <c r="D706" s="1" t="str">
        <f t="shared" si="54"/>
        <v>NJ</v>
      </c>
      <c r="E706" s="2">
        <v>1</v>
      </c>
      <c r="F706" s="2">
        <v>1</v>
      </c>
      <c r="G706" s="2">
        <v>1</v>
      </c>
      <c r="H706" s="2">
        <v>1</v>
      </c>
    </row>
    <row r="707" spans="1:8" x14ac:dyDescent="0.25">
      <c r="A707" s="1" t="str">
        <f>"07465"</f>
        <v>07465</v>
      </c>
      <c r="B707" s="1" t="str">
        <f>"35614"</f>
        <v>35614</v>
      </c>
      <c r="C707" s="1" t="str">
        <f>"WANAQUE"</f>
        <v>WANAQUE</v>
      </c>
      <c r="D707" s="1" t="str">
        <f t="shared" si="54"/>
        <v>NJ</v>
      </c>
      <c r="E707" s="2">
        <v>1</v>
      </c>
      <c r="F707" s="2">
        <v>1</v>
      </c>
      <c r="G707" s="2">
        <v>1</v>
      </c>
      <c r="H707" s="2">
        <v>1</v>
      </c>
    </row>
    <row r="708" spans="1:8" x14ac:dyDescent="0.25">
      <c r="A708" s="1" t="str">
        <f>"07460"</f>
        <v>07460</v>
      </c>
      <c r="B708" s="1" t="str">
        <f>"35614"</f>
        <v>35614</v>
      </c>
      <c r="C708" s="1" t="str">
        <f>"STOCKHOLM"</f>
        <v>STOCKHOLM</v>
      </c>
      <c r="D708" s="1" t="str">
        <f t="shared" si="54"/>
        <v>NJ</v>
      </c>
      <c r="E708" s="2">
        <v>2.4517087667161899E-2</v>
      </c>
      <c r="F708" s="2">
        <v>1.9230769230769201E-2</v>
      </c>
      <c r="G708" s="2">
        <v>0.05</v>
      </c>
      <c r="H708" s="2">
        <v>2.46826516220028E-2</v>
      </c>
    </row>
    <row r="709" spans="1:8" x14ac:dyDescent="0.25">
      <c r="A709" s="1" t="str">
        <f>"07460"</f>
        <v>07460</v>
      </c>
      <c r="B709" s="1" t="str">
        <f>"35084"</f>
        <v>35084</v>
      </c>
      <c r="C709" s="1" t="str">
        <f>"STOCKHOLM"</f>
        <v>STOCKHOLM</v>
      </c>
      <c r="D709" s="1" t="str">
        <f t="shared" si="54"/>
        <v>NJ</v>
      </c>
      <c r="E709" s="2">
        <v>0.97548291233283801</v>
      </c>
      <c r="F709" s="2">
        <v>0.98076923076922995</v>
      </c>
      <c r="G709" s="2">
        <v>0.95</v>
      </c>
      <c r="H709" s="2">
        <v>0.975317348377997</v>
      </c>
    </row>
    <row r="710" spans="1:8" x14ac:dyDescent="0.25">
      <c r="A710" s="1" t="str">
        <f>"07649"</f>
        <v>07649</v>
      </c>
      <c r="B710" s="1" t="str">
        <f>"35614"</f>
        <v>35614</v>
      </c>
      <c r="C710" s="1" t="str">
        <f>"ORADELL"</f>
        <v>ORADELL</v>
      </c>
      <c r="D710" s="1" t="str">
        <f t="shared" si="54"/>
        <v>NJ</v>
      </c>
      <c r="E710" s="2">
        <v>1</v>
      </c>
      <c r="F710" s="2">
        <v>1</v>
      </c>
      <c r="G710" s="2">
        <v>1</v>
      </c>
      <c r="H710" s="2">
        <v>1</v>
      </c>
    </row>
    <row r="711" spans="1:8" x14ac:dyDescent="0.25">
      <c r="A711" s="1" t="str">
        <f>"07641"</f>
        <v>07641</v>
      </c>
      <c r="B711" s="1" t="str">
        <f>"35614"</f>
        <v>35614</v>
      </c>
      <c r="C711" s="1" t="str">
        <f>"HAWORTH"</f>
        <v>HAWORTH</v>
      </c>
      <c r="D711" s="1" t="str">
        <f t="shared" si="54"/>
        <v>NJ</v>
      </c>
      <c r="E711" s="2">
        <v>1</v>
      </c>
      <c r="F711" s="2">
        <v>1</v>
      </c>
      <c r="G711" s="2">
        <v>1</v>
      </c>
      <c r="H711" s="2">
        <v>1</v>
      </c>
    </row>
    <row r="712" spans="1:8" x14ac:dyDescent="0.25">
      <c r="A712" s="1" t="str">
        <f>"07627"</f>
        <v>07627</v>
      </c>
      <c r="B712" s="1" t="str">
        <f>"35614"</f>
        <v>35614</v>
      </c>
      <c r="C712" s="1" t="str">
        <f>"DEMAREST"</f>
        <v>DEMAREST</v>
      </c>
      <c r="D712" s="1" t="str">
        <f t="shared" si="54"/>
        <v>NJ</v>
      </c>
      <c r="E712" s="2">
        <v>1</v>
      </c>
      <c r="F712" s="2">
        <v>1</v>
      </c>
      <c r="G712" s="2">
        <v>1</v>
      </c>
      <c r="H712" s="2">
        <v>1</v>
      </c>
    </row>
    <row r="713" spans="1:8" x14ac:dyDescent="0.25">
      <c r="A713" s="1" t="str">
        <f>"07722"</f>
        <v>07722</v>
      </c>
      <c r="B713" s="1" t="str">
        <f>"35154"</f>
        <v>35154</v>
      </c>
      <c r="C713" s="1" t="str">
        <f>"COLTS NECK"</f>
        <v>COLTS NECK</v>
      </c>
      <c r="D713" s="1" t="str">
        <f t="shared" si="54"/>
        <v>NJ</v>
      </c>
      <c r="E713" s="2">
        <v>1</v>
      </c>
      <c r="F713" s="2">
        <v>1</v>
      </c>
      <c r="G713" s="2">
        <v>1</v>
      </c>
      <c r="H713" s="2">
        <v>1</v>
      </c>
    </row>
    <row r="714" spans="1:8" x14ac:dyDescent="0.25">
      <c r="A714" s="1" t="str">
        <f>"08009"</f>
        <v>08009</v>
      </c>
      <c r="B714" s="1" t="str">
        <f>"15804"</f>
        <v>15804</v>
      </c>
      <c r="C714" s="1" t="str">
        <f>"BERLIN"</f>
        <v>BERLIN</v>
      </c>
      <c r="D714" s="1" t="str">
        <f t="shared" si="54"/>
        <v>NJ</v>
      </c>
      <c r="E714" s="2">
        <v>1</v>
      </c>
      <c r="F714" s="2">
        <v>1</v>
      </c>
      <c r="G714" s="2">
        <v>1</v>
      </c>
      <c r="H714" s="2">
        <v>1</v>
      </c>
    </row>
    <row r="715" spans="1:8" x14ac:dyDescent="0.25">
      <c r="A715" s="1" t="str">
        <f>"08021"</f>
        <v>08021</v>
      </c>
      <c r="B715" s="1" t="str">
        <f>"15804"</f>
        <v>15804</v>
      </c>
      <c r="C715" s="1" t="str">
        <f>"CLEMENTON"</f>
        <v>CLEMENTON</v>
      </c>
      <c r="D715" s="1" t="str">
        <f t="shared" si="54"/>
        <v>NJ</v>
      </c>
      <c r="E715" s="2">
        <v>1</v>
      </c>
      <c r="F715" s="2">
        <v>1</v>
      </c>
      <c r="G715" s="2">
        <v>1</v>
      </c>
      <c r="H715" s="2">
        <v>1</v>
      </c>
    </row>
    <row r="716" spans="1:8" x14ac:dyDescent="0.25">
      <c r="A716" s="1" t="str">
        <f>"08075"</f>
        <v>08075</v>
      </c>
      <c r="B716" s="1" t="str">
        <f>"15804"</f>
        <v>15804</v>
      </c>
      <c r="C716" s="1" t="str">
        <f>"RIVERSIDE"</f>
        <v>RIVERSIDE</v>
      </c>
      <c r="D716" s="1" t="str">
        <f t="shared" si="54"/>
        <v>NJ</v>
      </c>
      <c r="E716" s="2">
        <v>1</v>
      </c>
      <c r="F716" s="2">
        <v>1</v>
      </c>
      <c r="G716" s="2">
        <v>1</v>
      </c>
      <c r="H716" s="2">
        <v>1</v>
      </c>
    </row>
    <row r="717" spans="1:8" x14ac:dyDescent="0.25">
      <c r="A717" s="1" t="str">
        <f>"08105"</f>
        <v>08105</v>
      </c>
      <c r="B717" s="1" t="str">
        <f>"15804"</f>
        <v>15804</v>
      </c>
      <c r="C717" s="1" t="str">
        <f>"CAMDEN"</f>
        <v>CAMDEN</v>
      </c>
      <c r="D717" s="1" t="str">
        <f t="shared" si="54"/>
        <v>NJ</v>
      </c>
      <c r="E717" s="2">
        <v>1</v>
      </c>
      <c r="F717" s="2">
        <v>1</v>
      </c>
      <c r="G717" s="2">
        <v>1</v>
      </c>
      <c r="H717" s="2">
        <v>1</v>
      </c>
    </row>
    <row r="718" spans="1:8" x14ac:dyDescent="0.25">
      <c r="A718" s="1" t="str">
        <f>"08102"</f>
        <v>08102</v>
      </c>
      <c r="B718" s="1" t="str">
        <f>"15804"</f>
        <v>15804</v>
      </c>
      <c r="C718" s="1" t="str">
        <f>"CAMDEN"</f>
        <v>CAMDEN</v>
      </c>
      <c r="D718" s="1" t="str">
        <f t="shared" si="54"/>
        <v>NJ</v>
      </c>
      <c r="E718" s="2">
        <v>1</v>
      </c>
      <c r="F718" s="2">
        <v>1</v>
      </c>
      <c r="G718" s="2">
        <v>1</v>
      </c>
      <c r="H718" s="2">
        <v>1</v>
      </c>
    </row>
    <row r="719" spans="1:8" x14ac:dyDescent="0.25">
      <c r="A719" s="1" t="str">
        <f>"08804"</f>
        <v>08804</v>
      </c>
      <c r="B719" s="1" t="str">
        <f>"35084"</f>
        <v>35084</v>
      </c>
      <c r="C719" s="1" t="str">
        <f>"BLOOMSBURY"</f>
        <v>BLOOMSBURY</v>
      </c>
      <c r="D719" s="1" t="str">
        <f t="shared" si="54"/>
        <v>NJ</v>
      </c>
      <c r="E719" s="2">
        <v>1</v>
      </c>
      <c r="F719" s="2">
        <v>1</v>
      </c>
      <c r="G719" s="2">
        <v>1</v>
      </c>
      <c r="H719" s="2">
        <v>1</v>
      </c>
    </row>
    <row r="720" spans="1:8" x14ac:dyDescent="0.25">
      <c r="A720" s="1" t="str">
        <f>"10033"</f>
        <v>10033</v>
      </c>
      <c r="B720" s="1" t="str">
        <f>"35614"</f>
        <v>35614</v>
      </c>
      <c r="C720" s="1" t="str">
        <f>"NEW YORK"</f>
        <v>NEW YORK</v>
      </c>
      <c r="D720" s="1" t="str">
        <f t="shared" ref="D720:D726" si="55">"NY"</f>
        <v>NY</v>
      </c>
      <c r="E720" s="2">
        <v>1</v>
      </c>
      <c r="F720" s="2">
        <v>1</v>
      </c>
      <c r="G720" s="2">
        <v>1</v>
      </c>
      <c r="H720" s="2">
        <v>1</v>
      </c>
    </row>
    <row r="721" spans="1:8" x14ac:dyDescent="0.25">
      <c r="A721" s="1" t="str">
        <f>"10044"</f>
        <v>10044</v>
      </c>
      <c r="B721" s="1" t="str">
        <f>"35614"</f>
        <v>35614</v>
      </c>
      <c r="C721" s="1" t="str">
        <f>"NEW YORK"</f>
        <v>NEW YORK</v>
      </c>
      <c r="D721" s="1" t="str">
        <f t="shared" si="55"/>
        <v>NY</v>
      </c>
      <c r="E721" s="2">
        <v>1</v>
      </c>
      <c r="F721" s="2">
        <v>1</v>
      </c>
      <c r="G721" s="2">
        <v>1</v>
      </c>
      <c r="H721" s="2">
        <v>1</v>
      </c>
    </row>
    <row r="722" spans="1:8" x14ac:dyDescent="0.25">
      <c r="A722" s="1" t="str">
        <f>"11224"</f>
        <v>11224</v>
      </c>
      <c r="B722" s="1" t="str">
        <f>"35614"</f>
        <v>35614</v>
      </c>
      <c r="C722" s="1" t="str">
        <f>"BROOKLYN"</f>
        <v>BROOKLYN</v>
      </c>
      <c r="D722" s="1" t="str">
        <f t="shared" si="55"/>
        <v>NY</v>
      </c>
      <c r="E722" s="2">
        <v>1</v>
      </c>
      <c r="F722" s="2">
        <v>1</v>
      </c>
      <c r="G722" s="2">
        <v>1</v>
      </c>
      <c r="H722" s="2">
        <v>1</v>
      </c>
    </row>
    <row r="723" spans="1:8" x14ac:dyDescent="0.25">
      <c r="A723" s="1" t="str">
        <f>"11235"</f>
        <v>11235</v>
      </c>
      <c r="B723" s="1" t="str">
        <f>"35614"</f>
        <v>35614</v>
      </c>
      <c r="C723" s="1" t="str">
        <f>"BROOKLYN"</f>
        <v>BROOKLYN</v>
      </c>
      <c r="D723" s="1" t="str">
        <f t="shared" si="55"/>
        <v>NY</v>
      </c>
      <c r="E723" s="2">
        <v>1</v>
      </c>
      <c r="F723" s="2">
        <v>1</v>
      </c>
      <c r="G723" s="2">
        <v>1</v>
      </c>
      <c r="H723" s="2">
        <v>1</v>
      </c>
    </row>
    <row r="724" spans="1:8" x14ac:dyDescent="0.25">
      <c r="A724" s="1" t="str">
        <f>"11714"</f>
        <v>11714</v>
      </c>
      <c r="B724" s="1" t="str">
        <f>"35004"</f>
        <v>35004</v>
      </c>
      <c r="C724" s="1" t="str">
        <f>"BETHPAGE"</f>
        <v>BETHPAGE</v>
      </c>
      <c r="D724" s="1" t="str">
        <f t="shared" si="55"/>
        <v>NY</v>
      </c>
      <c r="E724" s="2">
        <v>1</v>
      </c>
      <c r="F724" s="2">
        <v>1</v>
      </c>
      <c r="G724" s="2">
        <v>1</v>
      </c>
      <c r="H724" s="2">
        <v>1</v>
      </c>
    </row>
    <row r="725" spans="1:8" x14ac:dyDescent="0.25">
      <c r="A725" s="1" t="str">
        <f>"10514"</f>
        <v>10514</v>
      </c>
      <c r="B725" s="1" t="str">
        <f>"35614"</f>
        <v>35614</v>
      </c>
      <c r="C725" s="1" t="str">
        <f>"CHAPPAQUA"</f>
        <v>CHAPPAQUA</v>
      </c>
      <c r="D725" s="1" t="str">
        <f t="shared" si="55"/>
        <v>NY</v>
      </c>
      <c r="E725" s="2">
        <v>1</v>
      </c>
      <c r="F725" s="2">
        <v>1</v>
      </c>
      <c r="G725" s="2">
        <v>1</v>
      </c>
      <c r="H725" s="2">
        <v>1</v>
      </c>
    </row>
    <row r="726" spans="1:8" x14ac:dyDescent="0.25">
      <c r="A726" s="1" t="str">
        <f>"11976"</f>
        <v>11976</v>
      </c>
      <c r="B726" s="1" t="str">
        <f>"35004"</f>
        <v>35004</v>
      </c>
      <c r="C726" s="1" t="str">
        <f>"WATER MILL"</f>
        <v>WATER MILL</v>
      </c>
      <c r="D726" s="1" t="str">
        <f t="shared" si="55"/>
        <v>NY</v>
      </c>
      <c r="E726" s="2">
        <v>1</v>
      </c>
      <c r="F726" s="2">
        <v>1</v>
      </c>
      <c r="G726" s="2">
        <v>1</v>
      </c>
      <c r="H726" s="2">
        <v>1</v>
      </c>
    </row>
    <row r="727" spans="1:8" x14ac:dyDescent="0.25">
      <c r="A727" s="1" t="str">
        <f>"18073"</f>
        <v>18073</v>
      </c>
      <c r="B727" s="1" t="str">
        <f>"33874"</f>
        <v>33874</v>
      </c>
      <c r="C727" s="1" t="str">
        <f>"PENNSBURG"</f>
        <v>PENNSBURG</v>
      </c>
      <c r="D727" s="1" t="str">
        <f>"PA"</f>
        <v>PA</v>
      </c>
      <c r="E727" s="2">
        <v>1</v>
      </c>
      <c r="F727" s="2">
        <v>1</v>
      </c>
      <c r="G727" s="2">
        <v>1</v>
      </c>
      <c r="H727" s="2">
        <v>1</v>
      </c>
    </row>
    <row r="728" spans="1:8" x14ac:dyDescent="0.25">
      <c r="A728" s="1" t="str">
        <f>"19004"</f>
        <v>19004</v>
      </c>
      <c r="B728" s="1" t="str">
        <f>"33874"</f>
        <v>33874</v>
      </c>
      <c r="C728" s="1" t="str">
        <f>"BALA CYNWYD"</f>
        <v>BALA CYNWYD</v>
      </c>
      <c r="D728" s="1" t="str">
        <f>"PA"</f>
        <v>PA</v>
      </c>
      <c r="E728" s="2">
        <v>1</v>
      </c>
      <c r="F728" s="2">
        <v>1</v>
      </c>
      <c r="G728" s="2">
        <v>1</v>
      </c>
      <c r="H728" s="2">
        <v>1</v>
      </c>
    </row>
    <row r="729" spans="1:8" x14ac:dyDescent="0.25">
      <c r="A729" s="1" t="str">
        <f>"19468"</f>
        <v>19468</v>
      </c>
      <c r="B729" s="1" t="str">
        <f>"33874"</f>
        <v>33874</v>
      </c>
      <c r="C729" s="1" t="str">
        <f>"ROYERSFORD"</f>
        <v>ROYERSFORD</v>
      </c>
      <c r="D729" s="1" t="str">
        <f>"PA"</f>
        <v>PA</v>
      </c>
      <c r="E729" s="2">
        <v>1</v>
      </c>
      <c r="F729" s="2">
        <v>1</v>
      </c>
      <c r="G729" s="2">
        <v>1</v>
      </c>
      <c r="H729" s="2">
        <v>1</v>
      </c>
    </row>
    <row r="730" spans="1:8" x14ac:dyDescent="0.25">
      <c r="A730" s="1" t="str">
        <f>"19465"</f>
        <v>19465</v>
      </c>
      <c r="B730" s="1" t="str">
        <f>"33874"</f>
        <v>33874</v>
      </c>
      <c r="C730" s="1" t="str">
        <f>"POTTSTOWN"</f>
        <v>POTTSTOWN</v>
      </c>
      <c r="D730" s="1" t="str">
        <f>"PA"</f>
        <v>PA</v>
      </c>
      <c r="E730" s="2">
        <v>1</v>
      </c>
      <c r="F730" s="2">
        <v>1</v>
      </c>
      <c r="G730" s="2">
        <v>1</v>
      </c>
      <c r="H730" s="2">
        <v>1</v>
      </c>
    </row>
    <row r="731" spans="1:8" x14ac:dyDescent="0.25">
      <c r="A731" s="1" t="str">
        <f>"20678"</f>
        <v>20678</v>
      </c>
      <c r="B731" s="1" t="str">
        <f t="shared" ref="B731:B738" si="56">"47894"</f>
        <v>47894</v>
      </c>
      <c r="C731" s="1" t="str">
        <f>"PRINCE FREDERICK"</f>
        <v>PRINCE FREDERICK</v>
      </c>
      <c r="D731" s="1" t="str">
        <f>"MD"</f>
        <v>MD</v>
      </c>
      <c r="E731" s="2">
        <v>1</v>
      </c>
      <c r="F731" s="2">
        <v>1</v>
      </c>
      <c r="G731" s="2">
        <v>1</v>
      </c>
      <c r="H731" s="2">
        <v>1</v>
      </c>
    </row>
    <row r="732" spans="1:8" x14ac:dyDescent="0.25">
      <c r="A732" s="1" t="str">
        <f>"20722"</f>
        <v>20722</v>
      </c>
      <c r="B732" s="1" t="str">
        <f t="shared" si="56"/>
        <v>47894</v>
      </c>
      <c r="C732" s="1" t="str">
        <f>"BRENTWOOD"</f>
        <v>BRENTWOOD</v>
      </c>
      <c r="D732" s="1" t="str">
        <f>"MD"</f>
        <v>MD</v>
      </c>
      <c r="E732" s="2">
        <v>1</v>
      </c>
      <c r="F732" s="2">
        <v>1</v>
      </c>
      <c r="G732" s="2">
        <v>1</v>
      </c>
      <c r="H732" s="2">
        <v>1</v>
      </c>
    </row>
    <row r="733" spans="1:8" x14ac:dyDescent="0.25">
      <c r="A733" s="1" t="str">
        <f>"20770"</f>
        <v>20770</v>
      </c>
      <c r="B733" s="1" t="str">
        <f t="shared" si="56"/>
        <v>47894</v>
      </c>
      <c r="C733" s="1" t="str">
        <f>"GREENBELT"</f>
        <v>GREENBELT</v>
      </c>
      <c r="D733" s="1" t="str">
        <f>"MD"</f>
        <v>MD</v>
      </c>
      <c r="E733" s="2">
        <v>1</v>
      </c>
      <c r="F733" s="2">
        <v>1</v>
      </c>
      <c r="G733" s="2">
        <v>1</v>
      </c>
      <c r="H733" s="2">
        <v>1</v>
      </c>
    </row>
    <row r="734" spans="1:8" x14ac:dyDescent="0.25">
      <c r="A734" s="1" t="str">
        <f>"20111"</f>
        <v>20111</v>
      </c>
      <c r="B734" s="1" t="str">
        <f t="shared" si="56"/>
        <v>47894</v>
      </c>
      <c r="C734" s="1" t="str">
        <f>"MANASSAS"</f>
        <v>MANASSAS</v>
      </c>
      <c r="D734" s="1" t="str">
        <f>"VA"</f>
        <v>VA</v>
      </c>
      <c r="E734" s="2">
        <v>1</v>
      </c>
      <c r="F734" s="2">
        <v>1</v>
      </c>
      <c r="G734" s="2">
        <v>1</v>
      </c>
      <c r="H734" s="2">
        <v>1</v>
      </c>
    </row>
    <row r="735" spans="1:8" x14ac:dyDescent="0.25">
      <c r="A735" s="1" t="str">
        <f>"20180"</f>
        <v>20180</v>
      </c>
      <c r="B735" s="1" t="str">
        <f t="shared" si="56"/>
        <v>47894</v>
      </c>
      <c r="C735" s="1" t="str">
        <f>"LOVETTSVILLE"</f>
        <v>LOVETTSVILLE</v>
      </c>
      <c r="D735" s="1" t="str">
        <f>"VA"</f>
        <v>VA</v>
      </c>
      <c r="E735" s="2">
        <v>1</v>
      </c>
      <c r="F735" s="2">
        <v>1</v>
      </c>
      <c r="G735" s="2">
        <v>1</v>
      </c>
      <c r="H735" s="2">
        <v>1</v>
      </c>
    </row>
    <row r="736" spans="1:8" x14ac:dyDescent="0.25">
      <c r="A736" s="1" t="str">
        <f>"20182"</f>
        <v>20182</v>
      </c>
      <c r="B736" s="1" t="str">
        <f t="shared" si="56"/>
        <v>47894</v>
      </c>
      <c r="C736" s="1" t="str">
        <f>"NOKESVILLE"</f>
        <v>NOKESVILLE</v>
      </c>
      <c r="D736" s="1" t="str">
        <f>"VA"</f>
        <v>VA</v>
      </c>
      <c r="E736" s="2">
        <v>1</v>
      </c>
      <c r="F736" s="2">
        <v>1</v>
      </c>
      <c r="G736" s="2">
        <v>1</v>
      </c>
      <c r="H736" s="2">
        <v>1</v>
      </c>
    </row>
    <row r="737" spans="1:8" x14ac:dyDescent="0.25">
      <c r="A737" s="1" t="str">
        <f>"22046"</f>
        <v>22046</v>
      </c>
      <c r="B737" s="1" t="str">
        <f t="shared" si="56"/>
        <v>47894</v>
      </c>
      <c r="C737" s="1" t="str">
        <f>"FALLS CHURCH"</f>
        <v>FALLS CHURCH</v>
      </c>
      <c r="D737" s="1" t="str">
        <f>"VA"</f>
        <v>VA</v>
      </c>
      <c r="E737" s="2">
        <v>1</v>
      </c>
      <c r="F737" s="2">
        <v>1</v>
      </c>
      <c r="G737" s="2">
        <v>1</v>
      </c>
      <c r="H737" s="2">
        <v>1</v>
      </c>
    </row>
    <row r="738" spans="1:8" x14ac:dyDescent="0.25">
      <c r="A738" s="1" t="str">
        <f>"22408"</f>
        <v>22408</v>
      </c>
      <c r="B738" s="1" t="str">
        <f t="shared" si="56"/>
        <v>47894</v>
      </c>
      <c r="C738" s="1" t="str">
        <f>"FREDERICKSBURG"</f>
        <v>FREDERICKSBURG</v>
      </c>
      <c r="D738" s="1" t="str">
        <f>"VA"</f>
        <v>VA</v>
      </c>
      <c r="E738" s="2">
        <v>1</v>
      </c>
      <c r="F738" s="2">
        <v>1</v>
      </c>
      <c r="G738" s="2">
        <v>1</v>
      </c>
      <c r="H738" s="2">
        <v>1</v>
      </c>
    </row>
    <row r="739" spans="1:8" x14ac:dyDescent="0.25">
      <c r="A739" s="1" t="str">
        <f>"33010"</f>
        <v>33010</v>
      </c>
      <c r="B739" s="1" t="str">
        <f>"33124"</f>
        <v>33124</v>
      </c>
      <c r="C739" s="1" t="str">
        <f>"HIALEAH"</f>
        <v>HIALEAH</v>
      </c>
      <c r="D739" s="1" t="str">
        <f>"FL"</f>
        <v>FL</v>
      </c>
      <c r="E739" s="2">
        <v>1</v>
      </c>
      <c r="F739" s="2">
        <v>1</v>
      </c>
      <c r="G739" s="2">
        <v>1</v>
      </c>
      <c r="H739" s="2">
        <v>1</v>
      </c>
    </row>
    <row r="740" spans="1:8" x14ac:dyDescent="0.25">
      <c r="A740" s="1" t="str">
        <f>"33064"</f>
        <v>33064</v>
      </c>
      <c r="B740" s="1" t="str">
        <f>"22744"</f>
        <v>22744</v>
      </c>
      <c r="C740" s="1" t="str">
        <f>"POMPANO BEACH"</f>
        <v>POMPANO BEACH</v>
      </c>
      <c r="D740" s="1" t="str">
        <f>"FL"</f>
        <v>FL</v>
      </c>
      <c r="E740" s="2">
        <v>1</v>
      </c>
      <c r="F740" s="2">
        <v>1</v>
      </c>
      <c r="G740" s="2">
        <v>1</v>
      </c>
      <c r="H740" s="2">
        <v>1</v>
      </c>
    </row>
    <row r="741" spans="1:8" x14ac:dyDescent="0.25">
      <c r="A741" s="1" t="str">
        <f>"33183"</f>
        <v>33183</v>
      </c>
      <c r="B741" s="1" t="str">
        <f>"33124"</f>
        <v>33124</v>
      </c>
      <c r="C741" s="1" t="str">
        <f>"MIAMI"</f>
        <v>MIAMI</v>
      </c>
      <c r="D741" s="1" t="str">
        <f>"FL"</f>
        <v>FL</v>
      </c>
      <c r="E741" s="2">
        <v>1</v>
      </c>
      <c r="F741" s="2">
        <v>1</v>
      </c>
      <c r="G741" s="2">
        <v>1</v>
      </c>
      <c r="H741" s="2">
        <v>1</v>
      </c>
    </row>
    <row r="742" spans="1:8" x14ac:dyDescent="0.25">
      <c r="A742" s="1" t="str">
        <f>"25414"</f>
        <v>25414</v>
      </c>
      <c r="B742" s="1" t="str">
        <f>"47894"</f>
        <v>47894</v>
      </c>
      <c r="C742" s="1" t="str">
        <f>"CHARLES TOWN"</f>
        <v>CHARLES TOWN</v>
      </c>
      <c r="D742" s="1" t="str">
        <f>"WV"</f>
        <v>WV</v>
      </c>
      <c r="E742" s="2">
        <v>1</v>
      </c>
      <c r="F742" s="2">
        <v>1</v>
      </c>
      <c r="G742" s="2">
        <v>1</v>
      </c>
      <c r="H742" s="2">
        <v>1</v>
      </c>
    </row>
    <row r="743" spans="1:8" x14ac:dyDescent="0.25">
      <c r="A743" s="1" t="str">
        <f>"46307"</f>
        <v>46307</v>
      </c>
      <c r="B743" s="1" t="str">
        <f>"23844"</f>
        <v>23844</v>
      </c>
      <c r="C743" s="1" t="str">
        <f>"CROWN POINT"</f>
        <v>CROWN POINT</v>
      </c>
      <c r="D743" s="1" t="str">
        <f>"IN"</f>
        <v>IN</v>
      </c>
      <c r="E743" s="2">
        <v>1</v>
      </c>
      <c r="F743" s="2">
        <v>1</v>
      </c>
      <c r="G743" s="2">
        <v>1</v>
      </c>
      <c r="H743" s="2">
        <v>1</v>
      </c>
    </row>
    <row r="744" spans="1:8" x14ac:dyDescent="0.25">
      <c r="A744" s="1" t="str">
        <f>"46304"</f>
        <v>46304</v>
      </c>
      <c r="B744" s="1" t="str">
        <f>"23844"</f>
        <v>23844</v>
      </c>
      <c r="C744" s="1" t="str">
        <f>"CHESTERTON"</f>
        <v>CHESTERTON</v>
      </c>
      <c r="D744" s="1" t="str">
        <f>"IN"</f>
        <v>IN</v>
      </c>
      <c r="E744" s="2">
        <v>1</v>
      </c>
      <c r="F744" s="2">
        <v>1</v>
      </c>
      <c r="G744" s="2">
        <v>1</v>
      </c>
      <c r="H744" s="2">
        <v>1</v>
      </c>
    </row>
    <row r="745" spans="1:8" x14ac:dyDescent="0.25">
      <c r="A745" s="1" t="str">
        <f>"46404"</f>
        <v>46404</v>
      </c>
      <c r="B745" s="1" t="str">
        <f>"23844"</f>
        <v>23844</v>
      </c>
      <c r="C745" s="1" t="str">
        <f>"GARY"</f>
        <v>GARY</v>
      </c>
      <c r="D745" s="1" t="str">
        <f>"IN"</f>
        <v>IN</v>
      </c>
      <c r="E745" s="2">
        <v>1</v>
      </c>
      <c r="F745" s="2">
        <v>1</v>
      </c>
      <c r="G745" s="2">
        <v>1</v>
      </c>
      <c r="H745" s="2">
        <v>1</v>
      </c>
    </row>
    <row r="746" spans="1:8" x14ac:dyDescent="0.25">
      <c r="A746" s="1" t="str">
        <f>"48039"</f>
        <v>48039</v>
      </c>
      <c r="B746" s="1" t="str">
        <f>"47664"</f>
        <v>47664</v>
      </c>
      <c r="C746" s="1" t="str">
        <f>"MARINE CITY"</f>
        <v>MARINE CITY</v>
      </c>
      <c r="D746" s="1" t="str">
        <f>"MI"</f>
        <v>MI</v>
      </c>
      <c r="E746" s="2">
        <v>1</v>
      </c>
      <c r="F746" s="2">
        <v>1</v>
      </c>
      <c r="G746" s="2">
        <v>1</v>
      </c>
      <c r="H746" s="2">
        <v>1</v>
      </c>
    </row>
    <row r="747" spans="1:8" x14ac:dyDescent="0.25">
      <c r="A747" s="1" t="str">
        <f>"48095"</f>
        <v>48095</v>
      </c>
      <c r="B747" s="1" t="str">
        <f>"47664"</f>
        <v>47664</v>
      </c>
      <c r="C747" s="1" t="str">
        <f>"WASHINGTON"</f>
        <v>WASHINGTON</v>
      </c>
      <c r="D747" s="1" t="str">
        <f>"MI"</f>
        <v>MI</v>
      </c>
      <c r="E747" s="2">
        <v>1</v>
      </c>
      <c r="F747" s="2">
        <v>1</v>
      </c>
      <c r="G747" s="2">
        <v>1</v>
      </c>
      <c r="H747" s="2">
        <v>1</v>
      </c>
    </row>
    <row r="748" spans="1:8" x14ac:dyDescent="0.25">
      <c r="A748" s="1" t="str">
        <f>"48322"</f>
        <v>48322</v>
      </c>
      <c r="B748" s="1" t="str">
        <f>"47664"</f>
        <v>47664</v>
      </c>
      <c r="C748" s="1" t="str">
        <f>"WEST BLOOMFIELD"</f>
        <v>WEST BLOOMFIELD</v>
      </c>
      <c r="D748" s="1" t="str">
        <f>"MI"</f>
        <v>MI</v>
      </c>
      <c r="E748" s="2">
        <v>1</v>
      </c>
      <c r="F748" s="2">
        <v>1</v>
      </c>
      <c r="G748" s="2">
        <v>1</v>
      </c>
      <c r="H748" s="2">
        <v>1</v>
      </c>
    </row>
    <row r="749" spans="1:8" x14ac:dyDescent="0.25">
      <c r="A749" s="1" t="str">
        <f>"48111"</f>
        <v>48111</v>
      </c>
      <c r="B749" s="1" t="str">
        <f>"19804"</f>
        <v>19804</v>
      </c>
      <c r="C749" s="1" t="str">
        <f>"BELLEVILLE"</f>
        <v>BELLEVILLE</v>
      </c>
      <c r="D749" s="1" t="str">
        <f>"MI"</f>
        <v>MI</v>
      </c>
      <c r="E749" s="2">
        <v>1</v>
      </c>
      <c r="F749" s="2">
        <v>1</v>
      </c>
      <c r="G749" s="2">
        <v>1</v>
      </c>
      <c r="H749" s="2">
        <v>1</v>
      </c>
    </row>
    <row r="750" spans="1:8" x14ac:dyDescent="0.25">
      <c r="A750" s="1" t="str">
        <f>"48386"</f>
        <v>48386</v>
      </c>
      <c r="B750" s="1" t="str">
        <f>"47664"</f>
        <v>47664</v>
      </c>
      <c r="C750" s="1" t="str">
        <f>"WHITE LAKE"</f>
        <v>WHITE LAKE</v>
      </c>
      <c r="D750" s="1" t="str">
        <f>"MI"</f>
        <v>MI</v>
      </c>
      <c r="E750" s="2">
        <v>1</v>
      </c>
      <c r="F750" s="2">
        <v>1</v>
      </c>
      <c r="G750" s="2">
        <v>1</v>
      </c>
      <c r="H750" s="2">
        <v>1</v>
      </c>
    </row>
    <row r="751" spans="1:8" x14ac:dyDescent="0.25">
      <c r="A751" s="1" t="str">
        <f>"60446"</f>
        <v>60446</v>
      </c>
      <c r="B751" s="1" t="str">
        <f>"16984"</f>
        <v>16984</v>
      </c>
      <c r="C751" s="1" t="str">
        <f>"ROMEOVILLE"</f>
        <v>ROMEOVILLE</v>
      </c>
      <c r="D751" s="1" t="str">
        <f t="shared" ref="D751:D761" si="57">"IL"</f>
        <v>IL</v>
      </c>
      <c r="E751" s="2">
        <v>1</v>
      </c>
      <c r="F751" s="2">
        <v>1</v>
      </c>
      <c r="G751" s="2">
        <v>1</v>
      </c>
      <c r="H751" s="2">
        <v>1</v>
      </c>
    </row>
    <row r="752" spans="1:8" x14ac:dyDescent="0.25">
      <c r="A752" s="1" t="str">
        <f>"60447"</f>
        <v>60447</v>
      </c>
      <c r="B752" s="1" t="str">
        <f>"16984"</f>
        <v>16984</v>
      </c>
      <c r="C752" s="1" t="str">
        <f>"MINOOKA"</f>
        <v>MINOOKA</v>
      </c>
      <c r="D752" s="1" t="str">
        <f t="shared" si="57"/>
        <v>IL</v>
      </c>
      <c r="E752" s="2">
        <v>0.87434967680908005</v>
      </c>
      <c r="F752" s="2">
        <v>0.95547309833024097</v>
      </c>
      <c r="G752" s="2">
        <v>0.96923076923076901</v>
      </c>
      <c r="H752" s="2">
        <v>0.88392607112853505</v>
      </c>
    </row>
    <row r="753" spans="1:8" x14ac:dyDescent="0.25">
      <c r="A753" s="1" t="str">
        <f>"60447"</f>
        <v>60447</v>
      </c>
      <c r="B753" s="1" t="str">
        <f>"20994"</f>
        <v>20994</v>
      </c>
      <c r="C753" s="1" t="str">
        <f>"MINOOKA"</f>
        <v>MINOOKA</v>
      </c>
      <c r="D753" s="1" t="str">
        <f t="shared" si="57"/>
        <v>IL</v>
      </c>
      <c r="E753" s="2">
        <v>0.12565032319091901</v>
      </c>
      <c r="F753" s="2">
        <v>4.4526901669758798E-2</v>
      </c>
      <c r="G753" s="2">
        <v>3.0769230769230702E-2</v>
      </c>
      <c r="H753" s="2">
        <v>0.116073928871464</v>
      </c>
    </row>
    <row r="754" spans="1:8" x14ac:dyDescent="0.25">
      <c r="A754" s="1" t="str">
        <f>"60410"</f>
        <v>60410</v>
      </c>
      <c r="B754" s="1" t="str">
        <f>"16984"</f>
        <v>16984</v>
      </c>
      <c r="C754" s="1" t="str">
        <f>"CHANNAHON"</f>
        <v>CHANNAHON</v>
      </c>
      <c r="D754" s="1" t="str">
        <f t="shared" si="57"/>
        <v>IL</v>
      </c>
      <c r="E754" s="2">
        <v>1</v>
      </c>
      <c r="F754" s="2">
        <v>1</v>
      </c>
      <c r="G754" s="2">
        <v>1</v>
      </c>
      <c r="H754" s="2">
        <v>1</v>
      </c>
    </row>
    <row r="755" spans="1:8" x14ac:dyDescent="0.25">
      <c r="A755" s="1" t="str">
        <f>"60426"</f>
        <v>60426</v>
      </c>
      <c r="B755" s="1" t="str">
        <f>"16984"</f>
        <v>16984</v>
      </c>
      <c r="C755" s="1" t="str">
        <f>"HARVEY"</f>
        <v>HARVEY</v>
      </c>
      <c r="D755" s="1" t="str">
        <f t="shared" si="57"/>
        <v>IL</v>
      </c>
      <c r="E755" s="2">
        <v>1</v>
      </c>
      <c r="F755" s="2">
        <v>1</v>
      </c>
      <c r="G755" s="2">
        <v>1</v>
      </c>
      <c r="H755" s="2">
        <v>1</v>
      </c>
    </row>
    <row r="756" spans="1:8" x14ac:dyDescent="0.25">
      <c r="A756" s="1" t="str">
        <f>"60068"</f>
        <v>60068</v>
      </c>
      <c r="B756" s="1" t="str">
        <f>"16984"</f>
        <v>16984</v>
      </c>
      <c r="C756" s="1" t="str">
        <f>"PARK RIDGE"</f>
        <v>PARK RIDGE</v>
      </c>
      <c r="D756" s="1" t="str">
        <f t="shared" si="57"/>
        <v>IL</v>
      </c>
      <c r="E756" s="2">
        <v>1</v>
      </c>
      <c r="F756" s="2">
        <v>1</v>
      </c>
      <c r="G756" s="2">
        <v>1</v>
      </c>
      <c r="H756" s="2">
        <v>1</v>
      </c>
    </row>
    <row r="757" spans="1:8" x14ac:dyDescent="0.25">
      <c r="A757" s="1" t="str">
        <f>"60140"</f>
        <v>60140</v>
      </c>
      <c r="B757" s="1" t="str">
        <f>"16984"</f>
        <v>16984</v>
      </c>
      <c r="C757" s="1" t="str">
        <f>"HAMPSHIRE"</f>
        <v>HAMPSHIRE</v>
      </c>
      <c r="D757" s="1" t="str">
        <f t="shared" si="57"/>
        <v>IL</v>
      </c>
      <c r="E757" s="2">
        <v>5.4359643400739201E-4</v>
      </c>
      <c r="F757" s="2">
        <v>6.41025641025641E-3</v>
      </c>
      <c r="G757" s="2">
        <v>0</v>
      </c>
      <c r="H757" s="2">
        <v>7.2411296162201298E-4</v>
      </c>
    </row>
    <row r="758" spans="1:8" x14ac:dyDescent="0.25">
      <c r="A758" s="1" t="str">
        <f>"60140"</f>
        <v>60140</v>
      </c>
      <c r="B758" s="1" t="str">
        <f>"20994"</f>
        <v>20994</v>
      </c>
      <c r="C758" s="1" t="str">
        <f>"HAMPSHIRE"</f>
        <v>HAMPSHIRE</v>
      </c>
      <c r="D758" s="1" t="str">
        <f t="shared" si="57"/>
        <v>IL</v>
      </c>
      <c r="E758" s="2">
        <v>0.99945640356599197</v>
      </c>
      <c r="F758" s="2">
        <v>0.99358974358974295</v>
      </c>
      <c r="G758" s="2">
        <v>1</v>
      </c>
      <c r="H758" s="2">
        <v>0.999275887038377</v>
      </c>
    </row>
    <row r="759" spans="1:8" x14ac:dyDescent="0.25">
      <c r="A759" s="1" t="str">
        <f>"60112"</f>
        <v>60112</v>
      </c>
      <c r="B759" s="1" t="str">
        <f>"20994"</f>
        <v>20994</v>
      </c>
      <c r="C759" s="1" t="str">
        <f>"CORTLAND"</f>
        <v>CORTLAND</v>
      </c>
      <c r="D759" s="1" t="str">
        <f t="shared" si="57"/>
        <v>IL</v>
      </c>
      <c r="E759" s="2">
        <v>1</v>
      </c>
      <c r="F759" s="2">
        <v>1</v>
      </c>
      <c r="G759" s="2">
        <v>1</v>
      </c>
      <c r="H759" s="2">
        <v>1</v>
      </c>
    </row>
    <row r="760" spans="1:8" x14ac:dyDescent="0.25">
      <c r="A760" s="1" t="str">
        <f>"60171"</f>
        <v>60171</v>
      </c>
      <c r="B760" s="1" t="str">
        <f>"16984"</f>
        <v>16984</v>
      </c>
      <c r="C760" s="1" t="str">
        <f>"RIVER GROVE"</f>
        <v>RIVER GROVE</v>
      </c>
      <c r="D760" s="1" t="str">
        <f t="shared" si="57"/>
        <v>IL</v>
      </c>
      <c r="E760" s="2">
        <v>1</v>
      </c>
      <c r="F760" s="2">
        <v>1</v>
      </c>
      <c r="G760" s="2">
        <v>1</v>
      </c>
      <c r="H760" s="2">
        <v>1</v>
      </c>
    </row>
    <row r="761" spans="1:8" x14ac:dyDescent="0.25">
      <c r="A761" s="1" t="str">
        <f>"60615"</f>
        <v>60615</v>
      </c>
      <c r="B761" s="1" t="str">
        <f>"16984"</f>
        <v>16984</v>
      </c>
      <c r="C761" s="1" t="str">
        <f>"CHICAGO"</f>
        <v>CHICAGO</v>
      </c>
      <c r="D761" s="1" t="str">
        <f t="shared" si="57"/>
        <v>IL</v>
      </c>
      <c r="E761" s="2">
        <v>1</v>
      </c>
      <c r="F761" s="2">
        <v>1</v>
      </c>
      <c r="G761" s="2">
        <v>1</v>
      </c>
      <c r="H761" s="2">
        <v>1</v>
      </c>
    </row>
    <row r="762" spans="1:8" x14ac:dyDescent="0.25">
      <c r="A762" s="1" t="str">
        <f>"75007"</f>
        <v>75007</v>
      </c>
      <c r="B762" s="1" t="str">
        <f>"19124"</f>
        <v>19124</v>
      </c>
      <c r="C762" s="1" t="str">
        <f>"CARROLLTON"</f>
        <v>CARROLLTON</v>
      </c>
      <c r="D762" s="1" t="str">
        <f t="shared" ref="D762:D767" si="58">"TX"</f>
        <v>TX</v>
      </c>
      <c r="E762" s="2">
        <v>1</v>
      </c>
      <c r="F762" s="2">
        <v>1</v>
      </c>
      <c r="G762" s="2">
        <v>1</v>
      </c>
      <c r="H762" s="2">
        <v>1</v>
      </c>
    </row>
    <row r="763" spans="1:8" x14ac:dyDescent="0.25">
      <c r="A763" s="1" t="str">
        <f>"75243"</f>
        <v>75243</v>
      </c>
      <c r="B763" s="1" t="str">
        <f>"19124"</f>
        <v>19124</v>
      </c>
      <c r="C763" s="1" t="str">
        <f>"DALLAS"</f>
        <v>DALLAS</v>
      </c>
      <c r="D763" s="1" t="str">
        <f t="shared" si="58"/>
        <v>TX</v>
      </c>
      <c r="E763" s="2">
        <v>1</v>
      </c>
      <c r="F763" s="2">
        <v>1</v>
      </c>
      <c r="G763" s="2">
        <v>1</v>
      </c>
      <c r="H763" s="2">
        <v>1</v>
      </c>
    </row>
    <row r="764" spans="1:8" x14ac:dyDescent="0.25">
      <c r="A764" s="1" t="str">
        <f>"75381"</f>
        <v>75381</v>
      </c>
      <c r="B764" s="1" t="str">
        <f>"19124"</f>
        <v>19124</v>
      </c>
      <c r="C764" s="1" t="str">
        <f>"DALLAS"</f>
        <v>DALLAS</v>
      </c>
      <c r="D764" s="1" t="str">
        <f t="shared" si="58"/>
        <v>TX</v>
      </c>
      <c r="E764" s="2">
        <v>1</v>
      </c>
      <c r="F764" s="2">
        <v>1</v>
      </c>
      <c r="G764" s="2">
        <v>1</v>
      </c>
      <c r="H764" s="2">
        <v>1</v>
      </c>
    </row>
    <row r="765" spans="1:8" x14ac:dyDescent="0.25">
      <c r="A765" s="1" t="str">
        <f>"75208"</f>
        <v>75208</v>
      </c>
      <c r="B765" s="1" t="str">
        <f>"19124"</f>
        <v>19124</v>
      </c>
      <c r="C765" s="1" t="str">
        <f>"DALLAS"</f>
        <v>DALLAS</v>
      </c>
      <c r="D765" s="1" t="str">
        <f t="shared" si="58"/>
        <v>TX</v>
      </c>
      <c r="E765" s="2">
        <v>1</v>
      </c>
      <c r="F765" s="2">
        <v>1</v>
      </c>
      <c r="G765" s="2">
        <v>1</v>
      </c>
      <c r="H765" s="2">
        <v>1</v>
      </c>
    </row>
    <row r="766" spans="1:8" x14ac:dyDescent="0.25">
      <c r="A766" s="1" t="str">
        <f>"75070"</f>
        <v>75070</v>
      </c>
      <c r="B766" s="1" t="str">
        <f>"19124"</f>
        <v>19124</v>
      </c>
      <c r="C766" s="1" t="str">
        <f>"MCKINNEY"</f>
        <v>MCKINNEY</v>
      </c>
      <c r="D766" s="1" t="str">
        <f t="shared" si="58"/>
        <v>TX</v>
      </c>
      <c r="E766" s="2">
        <v>1</v>
      </c>
      <c r="F766" s="2">
        <v>1</v>
      </c>
      <c r="G766" s="2">
        <v>1</v>
      </c>
      <c r="H766" s="2">
        <v>1</v>
      </c>
    </row>
    <row r="767" spans="1:8" x14ac:dyDescent="0.25">
      <c r="A767" s="1" t="str">
        <f>"76035"</f>
        <v>76035</v>
      </c>
      <c r="B767" s="1" t="str">
        <f>"23104"</f>
        <v>23104</v>
      </c>
      <c r="C767" s="1" t="str">
        <f>"CRESSON"</f>
        <v>CRESSON</v>
      </c>
      <c r="D767" s="1" t="str">
        <f t="shared" si="58"/>
        <v>TX</v>
      </c>
      <c r="E767" s="2">
        <v>1</v>
      </c>
      <c r="F767" s="2">
        <v>1</v>
      </c>
      <c r="G767" s="2">
        <v>1</v>
      </c>
      <c r="H767" s="2">
        <v>1</v>
      </c>
    </row>
    <row r="768" spans="1:8" x14ac:dyDescent="0.25">
      <c r="A768" s="1" t="str">
        <f>"90029"</f>
        <v>90029</v>
      </c>
      <c r="B768" s="1" t="str">
        <f t="shared" ref="B768:B775" si="59">"31084"</f>
        <v>31084</v>
      </c>
      <c r="C768" s="1" t="str">
        <f>"LOS ANGELES"</f>
        <v>LOS ANGELES</v>
      </c>
      <c r="D768" s="1" t="str">
        <f t="shared" ref="D768:D790" si="60">"CA"</f>
        <v>CA</v>
      </c>
      <c r="E768" s="2">
        <v>1</v>
      </c>
      <c r="F768" s="2">
        <v>1</v>
      </c>
      <c r="G768" s="2">
        <v>1</v>
      </c>
      <c r="H768" s="2">
        <v>1</v>
      </c>
    </row>
    <row r="769" spans="1:8" x14ac:dyDescent="0.25">
      <c r="A769" s="1" t="str">
        <f>"90245"</f>
        <v>90245</v>
      </c>
      <c r="B769" s="1" t="str">
        <f t="shared" si="59"/>
        <v>31084</v>
      </c>
      <c r="C769" s="1" t="str">
        <f>"EL SEGUNDO"</f>
        <v>EL SEGUNDO</v>
      </c>
      <c r="D769" s="1" t="str">
        <f t="shared" si="60"/>
        <v>CA</v>
      </c>
      <c r="E769" s="2">
        <v>1</v>
      </c>
      <c r="F769" s="2">
        <v>1</v>
      </c>
      <c r="G769" s="2">
        <v>1</v>
      </c>
      <c r="H769" s="2">
        <v>1</v>
      </c>
    </row>
    <row r="770" spans="1:8" x14ac:dyDescent="0.25">
      <c r="A770" s="1" t="str">
        <f>"90057"</f>
        <v>90057</v>
      </c>
      <c r="B770" s="1" t="str">
        <f t="shared" si="59"/>
        <v>31084</v>
      </c>
      <c r="C770" s="1" t="str">
        <f>"LOS ANGELES"</f>
        <v>LOS ANGELES</v>
      </c>
      <c r="D770" s="1" t="str">
        <f t="shared" si="60"/>
        <v>CA</v>
      </c>
      <c r="E770" s="2">
        <v>1</v>
      </c>
      <c r="F770" s="2">
        <v>1</v>
      </c>
      <c r="G770" s="2">
        <v>1</v>
      </c>
      <c r="H770" s="2">
        <v>1</v>
      </c>
    </row>
    <row r="771" spans="1:8" x14ac:dyDescent="0.25">
      <c r="A771" s="1" t="str">
        <f>"91345"</f>
        <v>91345</v>
      </c>
      <c r="B771" s="1" t="str">
        <f t="shared" si="59"/>
        <v>31084</v>
      </c>
      <c r="C771" s="1" t="str">
        <f>"MISSION HILLS"</f>
        <v>MISSION HILLS</v>
      </c>
      <c r="D771" s="1" t="str">
        <f t="shared" si="60"/>
        <v>CA</v>
      </c>
      <c r="E771" s="2">
        <v>1</v>
      </c>
      <c r="F771" s="2">
        <v>1</v>
      </c>
      <c r="G771" s="2">
        <v>1</v>
      </c>
      <c r="H771" s="2">
        <v>1</v>
      </c>
    </row>
    <row r="772" spans="1:8" x14ac:dyDescent="0.25">
      <c r="A772" s="1" t="str">
        <f>"90748"</f>
        <v>90748</v>
      </c>
      <c r="B772" s="1" t="str">
        <f t="shared" si="59"/>
        <v>31084</v>
      </c>
      <c r="C772" s="1" t="str">
        <f>"WILMINGTON"</f>
        <v>WILMINGTON</v>
      </c>
      <c r="D772" s="1" t="str">
        <f t="shared" si="60"/>
        <v>CA</v>
      </c>
      <c r="E772" s="2">
        <v>1</v>
      </c>
      <c r="F772" s="2">
        <v>1</v>
      </c>
      <c r="G772" s="2">
        <v>1</v>
      </c>
      <c r="H772" s="2">
        <v>1</v>
      </c>
    </row>
    <row r="773" spans="1:8" x14ac:dyDescent="0.25">
      <c r="A773" s="1" t="str">
        <f>"90723"</f>
        <v>90723</v>
      </c>
      <c r="B773" s="1" t="str">
        <f t="shared" si="59"/>
        <v>31084</v>
      </c>
      <c r="C773" s="1" t="str">
        <f>"PARAMOUNT"</f>
        <v>PARAMOUNT</v>
      </c>
      <c r="D773" s="1" t="str">
        <f t="shared" si="60"/>
        <v>CA</v>
      </c>
      <c r="E773" s="2">
        <v>1</v>
      </c>
      <c r="F773" s="2">
        <v>1</v>
      </c>
      <c r="G773" s="2">
        <v>1</v>
      </c>
      <c r="H773" s="2">
        <v>1</v>
      </c>
    </row>
    <row r="774" spans="1:8" x14ac:dyDescent="0.25">
      <c r="A774" s="1" t="str">
        <f>"93510"</f>
        <v>93510</v>
      </c>
      <c r="B774" s="1" t="str">
        <f t="shared" si="59"/>
        <v>31084</v>
      </c>
      <c r="C774" s="1" t="str">
        <f>"ACTON"</f>
        <v>ACTON</v>
      </c>
      <c r="D774" s="1" t="str">
        <f t="shared" si="60"/>
        <v>CA</v>
      </c>
      <c r="E774" s="2">
        <v>1</v>
      </c>
      <c r="F774" s="2">
        <v>1</v>
      </c>
      <c r="G774" s="2">
        <v>1</v>
      </c>
      <c r="H774" s="2">
        <v>1</v>
      </c>
    </row>
    <row r="775" spans="1:8" x14ac:dyDescent="0.25">
      <c r="A775" s="1" t="str">
        <f>"91201"</f>
        <v>91201</v>
      </c>
      <c r="B775" s="1" t="str">
        <f t="shared" si="59"/>
        <v>31084</v>
      </c>
      <c r="C775" s="1" t="str">
        <f>"GLENDALE"</f>
        <v>GLENDALE</v>
      </c>
      <c r="D775" s="1" t="str">
        <f t="shared" si="60"/>
        <v>CA</v>
      </c>
      <c r="E775" s="2">
        <v>1</v>
      </c>
      <c r="F775" s="2">
        <v>1</v>
      </c>
      <c r="G775" s="2">
        <v>1</v>
      </c>
      <c r="H775" s="2">
        <v>1</v>
      </c>
    </row>
    <row r="776" spans="1:8" x14ac:dyDescent="0.25">
      <c r="A776" s="1" t="str">
        <f>"92707"</f>
        <v>92707</v>
      </c>
      <c r="B776" s="1" t="str">
        <f>"11244"</f>
        <v>11244</v>
      </c>
      <c r="C776" s="1" t="str">
        <f>"SANTA ANA"</f>
        <v>SANTA ANA</v>
      </c>
      <c r="D776" s="1" t="str">
        <f t="shared" si="60"/>
        <v>CA</v>
      </c>
      <c r="E776" s="2">
        <v>1</v>
      </c>
      <c r="F776" s="2">
        <v>1</v>
      </c>
      <c r="G776" s="2">
        <v>1</v>
      </c>
      <c r="H776" s="2">
        <v>1</v>
      </c>
    </row>
    <row r="777" spans="1:8" x14ac:dyDescent="0.25">
      <c r="A777" s="1" t="str">
        <f>"92815"</f>
        <v>92815</v>
      </c>
      <c r="B777" s="1" t="str">
        <f>"11244"</f>
        <v>11244</v>
      </c>
      <c r="C777" s="1" t="str">
        <f>"ANAHEIM"</f>
        <v>ANAHEIM</v>
      </c>
      <c r="D777" s="1" t="str">
        <f t="shared" si="60"/>
        <v>CA</v>
      </c>
      <c r="E777" s="2">
        <v>1</v>
      </c>
      <c r="F777" s="2">
        <v>1</v>
      </c>
      <c r="G777" s="2">
        <v>1</v>
      </c>
      <c r="H777" s="2">
        <v>1</v>
      </c>
    </row>
    <row r="778" spans="1:8" x14ac:dyDescent="0.25">
      <c r="A778" s="1" t="str">
        <f>"92673"</f>
        <v>92673</v>
      </c>
      <c r="B778" s="1" t="str">
        <f>"11244"</f>
        <v>11244</v>
      </c>
      <c r="C778" s="1" t="str">
        <f>"SAN CLEMENTE"</f>
        <v>SAN CLEMENTE</v>
      </c>
      <c r="D778" s="1" t="str">
        <f t="shared" si="60"/>
        <v>CA</v>
      </c>
      <c r="E778" s="2">
        <v>1</v>
      </c>
      <c r="F778" s="2">
        <v>1</v>
      </c>
      <c r="G778" s="2">
        <v>1</v>
      </c>
      <c r="H778" s="2">
        <v>1</v>
      </c>
    </row>
    <row r="779" spans="1:8" x14ac:dyDescent="0.25">
      <c r="A779" s="1" t="str">
        <f>"92684"</f>
        <v>92684</v>
      </c>
      <c r="B779" s="1" t="str">
        <f>"11244"</f>
        <v>11244</v>
      </c>
      <c r="C779" s="1" t="str">
        <f>"WESTMINSTER"</f>
        <v>WESTMINSTER</v>
      </c>
      <c r="D779" s="1" t="str">
        <f t="shared" si="60"/>
        <v>CA</v>
      </c>
      <c r="E779" s="2">
        <v>1</v>
      </c>
      <c r="F779" s="2">
        <v>1</v>
      </c>
      <c r="G779" s="2">
        <v>1</v>
      </c>
      <c r="H779" s="2">
        <v>1</v>
      </c>
    </row>
    <row r="780" spans="1:8" x14ac:dyDescent="0.25">
      <c r="A780" s="1" t="str">
        <f>"91776"</f>
        <v>91776</v>
      </c>
      <c r="B780" s="1" t="str">
        <f>"31084"</f>
        <v>31084</v>
      </c>
      <c r="C780" s="1" t="str">
        <f>"SAN GABRIEL"</f>
        <v>SAN GABRIEL</v>
      </c>
      <c r="D780" s="1" t="str">
        <f t="shared" si="60"/>
        <v>CA</v>
      </c>
      <c r="E780" s="2">
        <v>1</v>
      </c>
      <c r="F780" s="2">
        <v>1</v>
      </c>
      <c r="G780" s="2">
        <v>1</v>
      </c>
      <c r="H780" s="2">
        <v>1</v>
      </c>
    </row>
    <row r="781" spans="1:8" x14ac:dyDescent="0.25">
      <c r="A781" s="1" t="str">
        <f>"91722"</f>
        <v>91722</v>
      </c>
      <c r="B781" s="1" t="str">
        <f>"31084"</f>
        <v>31084</v>
      </c>
      <c r="C781" s="1" t="str">
        <f>"COVINA"</f>
        <v>COVINA</v>
      </c>
      <c r="D781" s="1" t="str">
        <f t="shared" si="60"/>
        <v>CA</v>
      </c>
      <c r="E781" s="2">
        <v>1</v>
      </c>
      <c r="F781" s="2">
        <v>1</v>
      </c>
      <c r="G781" s="2">
        <v>1</v>
      </c>
      <c r="H781" s="2">
        <v>1</v>
      </c>
    </row>
    <row r="782" spans="1:8" x14ac:dyDescent="0.25">
      <c r="A782" s="1" t="str">
        <f>"91715"</f>
        <v>91715</v>
      </c>
      <c r="B782" s="1" t="str">
        <f>"31084"</f>
        <v>31084</v>
      </c>
      <c r="C782" s="1" t="str">
        <f>"CITY OF INDUSTRY"</f>
        <v>CITY OF INDUSTRY</v>
      </c>
      <c r="D782" s="1" t="str">
        <f t="shared" si="60"/>
        <v>CA</v>
      </c>
      <c r="E782" s="2">
        <v>1</v>
      </c>
      <c r="F782" s="2">
        <v>1</v>
      </c>
      <c r="G782" s="2">
        <v>1</v>
      </c>
      <c r="H782" s="2">
        <v>1</v>
      </c>
    </row>
    <row r="783" spans="1:8" x14ac:dyDescent="0.25">
      <c r="A783" s="1" t="str">
        <f>"92623"</f>
        <v>92623</v>
      </c>
      <c r="B783" s="1" t="str">
        <f>"11244"</f>
        <v>11244</v>
      </c>
      <c r="C783" s="1" t="str">
        <f>"IRVINE"</f>
        <v>IRVINE</v>
      </c>
      <c r="D783" s="1" t="str">
        <f t="shared" si="60"/>
        <v>CA</v>
      </c>
      <c r="E783" s="2">
        <v>1</v>
      </c>
      <c r="F783" s="2">
        <v>1</v>
      </c>
      <c r="G783" s="2">
        <v>1</v>
      </c>
      <c r="H783" s="2">
        <v>1</v>
      </c>
    </row>
    <row r="784" spans="1:8" x14ac:dyDescent="0.25">
      <c r="A784" s="1" t="str">
        <f>"94519"</f>
        <v>94519</v>
      </c>
      <c r="B784" s="1" t="str">
        <f>"36084"</f>
        <v>36084</v>
      </c>
      <c r="C784" s="1" t="str">
        <f>"CONCORD"</f>
        <v>CONCORD</v>
      </c>
      <c r="D784" s="1" t="str">
        <f t="shared" si="60"/>
        <v>CA</v>
      </c>
      <c r="E784" s="2">
        <v>1</v>
      </c>
      <c r="F784" s="2">
        <v>1</v>
      </c>
      <c r="G784" s="2">
        <v>1</v>
      </c>
      <c r="H784" s="2">
        <v>1</v>
      </c>
    </row>
    <row r="785" spans="1:8" x14ac:dyDescent="0.25">
      <c r="A785" s="1" t="str">
        <f>"94517"</f>
        <v>94517</v>
      </c>
      <c r="B785" s="1" t="str">
        <f>"36084"</f>
        <v>36084</v>
      </c>
      <c r="C785" s="1" t="str">
        <f>"CLAYTON"</f>
        <v>CLAYTON</v>
      </c>
      <c r="D785" s="1" t="str">
        <f t="shared" si="60"/>
        <v>CA</v>
      </c>
      <c r="E785" s="2">
        <v>1</v>
      </c>
      <c r="F785" s="2">
        <v>1</v>
      </c>
      <c r="G785" s="2">
        <v>1</v>
      </c>
      <c r="H785" s="2">
        <v>1</v>
      </c>
    </row>
    <row r="786" spans="1:8" x14ac:dyDescent="0.25">
      <c r="A786" s="1" t="str">
        <f>"94404"</f>
        <v>94404</v>
      </c>
      <c r="B786" s="1" t="str">
        <f>"41884"</f>
        <v>41884</v>
      </c>
      <c r="C786" s="1" t="str">
        <f>"SAN MATEO"</f>
        <v>SAN MATEO</v>
      </c>
      <c r="D786" s="1" t="str">
        <f t="shared" si="60"/>
        <v>CA</v>
      </c>
      <c r="E786" s="2">
        <v>1</v>
      </c>
      <c r="F786" s="2">
        <v>1</v>
      </c>
      <c r="G786" s="2">
        <v>1</v>
      </c>
      <c r="H786" s="2">
        <v>1</v>
      </c>
    </row>
    <row r="787" spans="1:8" x14ac:dyDescent="0.25">
      <c r="A787" s="1" t="str">
        <f>"94903"</f>
        <v>94903</v>
      </c>
      <c r="B787" s="1" t="str">
        <f>"42034"</f>
        <v>42034</v>
      </c>
      <c r="C787" s="1" t="str">
        <f>"SAN RAFAEL"</f>
        <v>SAN RAFAEL</v>
      </c>
      <c r="D787" s="1" t="str">
        <f t="shared" si="60"/>
        <v>CA</v>
      </c>
      <c r="E787" s="2">
        <v>1</v>
      </c>
      <c r="F787" s="2">
        <v>1</v>
      </c>
      <c r="G787" s="2">
        <v>1</v>
      </c>
      <c r="H787" s="2">
        <v>1</v>
      </c>
    </row>
    <row r="788" spans="1:8" x14ac:dyDescent="0.25">
      <c r="A788" s="1" t="str">
        <f>"94565"</f>
        <v>94565</v>
      </c>
      <c r="B788" s="1" t="str">
        <f>"36084"</f>
        <v>36084</v>
      </c>
      <c r="C788" s="1" t="str">
        <f>"PITTSBURG"</f>
        <v>PITTSBURG</v>
      </c>
      <c r="D788" s="1" t="str">
        <f t="shared" si="60"/>
        <v>CA</v>
      </c>
      <c r="E788" s="2">
        <v>1</v>
      </c>
      <c r="F788" s="2">
        <v>1</v>
      </c>
      <c r="G788" s="2">
        <v>1</v>
      </c>
      <c r="H788" s="2">
        <v>1</v>
      </c>
    </row>
    <row r="789" spans="1:8" x14ac:dyDescent="0.25">
      <c r="A789" s="1" t="str">
        <f>"94708"</f>
        <v>94708</v>
      </c>
      <c r="B789" s="1" t="str">
        <f>"36084"</f>
        <v>36084</v>
      </c>
      <c r="C789" s="1" t="str">
        <f>"BERKELEY"</f>
        <v>BERKELEY</v>
      </c>
      <c r="D789" s="1" t="str">
        <f t="shared" si="60"/>
        <v>CA</v>
      </c>
      <c r="E789" s="2">
        <v>1</v>
      </c>
      <c r="F789" s="2">
        <v>1</v>
      </c>
      <c r="G789" s="2">
        <v>1</v>
      </c>
      <c r="H789" s="2">
        <v>1</v>
      </c>
    </row>
    <row r="790" spans="1:8" x14ac:dyDescent="0.25">
      <c r="A790" s="1" t="str">
        <f>"94598"</f>
        <v>94598</v>
      </c>
      <c r="B790" s="1" t="str">
        <f>"36084"</f>
        <v>36084</v>
      </c>
      <c r="C790" s="1" t="str">
        <f>"WALNUT CREEK"</f>
        <v>WALNUT CREEK</v>
      </c>
      <c r="D790" s="1" t="str">
        <f t="shared" si="60"/>
        <v>CA</v>
      </c>
      <c r="E790" s="2">
        <v>1</v>
      </c>
      <c r="F790" s="2">
        <v>1</v>
      </c>
      <c r="G790" s="2">
        <v>1</v>
      </c>
      <c r="H790" s="2">
        <v>1</v>
      </c>
    </row>
    <row r="791" spans="1:8" x14ac:dyDescent="0.25">
      <c r="A791" s="1" t="str">
        <f>"98004"</f>
        <v>98004</v>
      </c>
      <c r="B791" s="1" t="str">
        <f>"42644"</f>
        <v>42644</v>
      </c>
      <c r="C791" s="1" t="str">
        <f>"BELLEVUE"</f>
        <v>BELLEVUE</v>
      </c>
      <c r="D791" s="1" t="str">
        <f t="shared" ref="D791:D798" si="61">"WA"</f>
        <v>WA</v>
      </c>
      <c r="E791" s="2">
        <v>1</v>
      </c>
      <c r="F791" s="2">
        <v>1</v>
      </c>
      <c r="G791" s="2">
        <v>1</v>
      </c>
      <c r="H791" s="2">
        <v>1</v>
      </c>
    </row>
    <row r="792" spans="1:8" x14ac:dyDescent="0.25">
      <c r="A792" s="1" t="str">
        <f>"98038"</f>
        <v>98038</v>
      </c>
      <c r="B792" s="1" t="str">
        <f>"42644"</f>
        <v>42644</v>
      </c>
      <c r="C792" s="1" t="str">
        <f>"MAPLE VALLEY"</f>
        <v>MAPLE VALLEY</v>
      </c>
      <c r="D792" s="1" t="str">
        <f t="shared" si="61"/>
        <v>WA</v>
      </c>
      <c r="E792" s="2">
        <v>1</v>
      </c>
      <c r="F792" s="2">
        <v>1</v>
      </c>
      <c r="G792" s="2">
        <v>1</v>
      </c>
      <c r="H792" s="2">
        <v>1</v>
      </c>
    </row>
    <row r="793" spans="1:8" x14ac:dyDescent="0.25">
      <c r="A793" s="1" t="str">
        <f>"98051"</f>
        <v>98051</v>
      </c>
      <c r="B793" s="1" t="str">
        <f>"42644"</f>
        <v>42644</v>
      </c>
      <c r="C793" s="1" t="str">
        <f>"RAVENSDALE"</f>
        <v>RAVENSDALE</v>
      </c>
      <c r="D793" s="1" t="str">
        <f t="shared" si="61"/>
        <v>WA</v>
      </c>
      <c r="E793" s="2">
        <v>1</v>
      </c>
      <c r="F793" s="2">
        <v>1</v>
      </c>
      <c r="G793" s="2">
        <v>1</v>
      </c>
      <c r="H793" s="2">
        <v>1</v>
      </c>
    </row>
    <row r="794" spans="1:8" x14ac:dyDescent="0.25">
      <c r="A794" s="1" t="str">
        <f>"98077"</f>
        <v>98077</v>
      </c>
      <c r="B794" s="1" t="str">
        <f>"42644"</f>
        <v>42644</v>
      </c>
      <c r="C794" s="1" t="str">
        <f>"WOODINVILLE"</f>
        <v>WOODINVILLE</v>
      </c>
      <c r="D794" s="1" t="str">
        <f t="shared" si="61"/>
        <v>WA</v>
      </c>
      <c r="E794" s="2">
        <v>1</v>
      </c>
      <c r="F794" s="2">
        <v>1</v>
      </c>
      <c r="G794" s="2">
        <v>1</v>
      </c>
      <c r="H794" s="2">
        <v>1</v>
      </c>
    </row>
    <row r="795" spans="1:8" x14ac:dyDescent="0.25">
      <c r="A795" s="1" t="str">
        <f>"98329"</f>
        <v>98329</v>
      </c>
      <c r="B795" s="1" t="str">
        <f>"45104"</f>
        <v>45104</v>
      </c>
      <c r="C795" s="1" t="str">
        <f>"GIG HARBOR"</f>
        <v>GIG HARBOR</v>
      </c>
      <c r="D795" s="1" t="str">
        <f t="shared" si="61"/>
        <v>WA</v>
      </c>
      <c r="E795" s="2">
        <v>1</v>
      </c>
      <c r="F795" s="2">
        <v>1</v>
      </c>
      <c r="G795" s="2">
        <v>1</v>
      </c>
      <c r="H795" s="2">
        <v>1</v>
      </c>
    </row>
    <row r="796" spans="1:8" x14ac:dyDescent="0.25">
      <c r="A796" s="1" t="str">
        <f>"98168"</f>
        <v>98168</v>
      </c>
      <c r="B796" s="1" t="str">
        <f>"42644"</f>
        <v>42644</v>
      </c>
      <c r="C796" s="1" t="str">
        <f>"SEATTLE"</f>
        <v>SEATTLE</v>
      </c>
      <c r="D796" s="1" t="str">
        <f t="shared" si="61"/>
        <v>WA</v>
      </c>
      <c r="E796" s="2">
        <v>1</v>
      </c>
      <c r="F796" s="2">
        <v>1</v>
      </c>
      <c r="G796" s="2">
        <v>1</v>
      </c>
      <c r="H796" s="2">
        <v>1</v>
      </c>
    </row>
    <row r="797" spans="1:8" x14ac:dyDescent="0.25">
      <c r="A797" s="1" t="str">
        <f>"98444"</f>
        <v>98444</v>
      </c>
      <c r="B797" s="1" t="str">
        <f>"45104"</f>
        <v>45104</v>
      </c>
      <c r="C797" s="1" t="str">
        <f>"TACOMA"</f>
        <v>TACOMA</v>
      </c>
      <c r="D797" s="1" t="str">
        <f t="shared" si="61"/>
        <v>WA</v>
      </c>
      <c r="E797" s="2">
        <v>1</v>
      </c>
      <c r="F797" s="2">
        <v>1</v>
      </c>
      <c r="G797" s="2">
        <v>1</v>
      </c>
      <c r="H797" s="2">
        <v>1</v>
      </c>
    </row>
    <row r="798" spans="1:8" x14ac:dyDescent="0.25">
      <c r="A798" s="1" t="str">
        <f>"98416"</f>
        <v>98416</v>
      </c>
      <c r="B798" s="1" t="str">
        <f>"45104"</f>
        <v>45104</v>
      </c>
      <c r="C798" s="1" t="str">
        <f>"TACOMA"</f>
        <v>TACOMA</v>
      </c>
      <c r="D798" s="1" t="str">
        <f t="shared" si="61"/>
        <v>WA</v>
      </c>
      <c r="E798" s="2">
        <v>0</v>
      </c>
      <c r="F798" s="2">
        <v>1</v>
      </c>
      <c r="G798" s="2">
        <v>1</v>
      </c>
      <c r="H798" s="2">
        <v>1</v>
      </c>
    </row>
    <row r="799" spans="1:8" x14ac:dyDescent="0.25">
      <c r="A799" s="1" t="str">
        <f>"01985"</f>
        <v>01985</v>
      </c>
      <c r="B799" s="1" t="str">
        <f>"15764"</f>
        <v>15764</v>
      </c>
      <c r="C799" s="1" t="str">
        <f>"WEST NEWBURY"</f>
        <v>WEST NEWBURY</v>
      </c>
      <c r="D799" s="1" t="str">
        <f>"MA"</f>
        <v>MA</v>
      </c>
      <c r="E799" s="2">
        <v>1</v>
      </c>
      <c r="F799" s="2">
        <v>1</v>
      </c>
      <c r="G799" s="2">
        <v>1</v>
      </c>
      <c r="H799" s="2">
        <v>1</v>
      </c>
    </row>
    <row r="800" spans="1:8" x14ac:dyDescent="0.25">
      <c r="A800" s="1" t="str">
        <f>"07840"</f>
        <v>07840</v>
      </c>
      <c r="B800" s="1" t="str">
        <f>"35084"</f>
        <v>35084</v>
      </c>
      <c r="C800" s="1" t="str">
        <f>"HACKETTSTOWN"</f>
        <v>HACKETTSTOWN</v>
      </c>
      <c r="D800" s="1" t="str">
        <f>"NJ"</f>
        <v>NJ</v>
      </c>
      <c r="E800" s="2">
        <v>1</v>
      </c>
      <c r="F800" s="2">
        <v>1</v>
      </c>
      <c r="G800" s="2">
        <v>1</v>
      </c>
      <c r="H800" s="2">
        <v>1</v>
      </c>
    </row>
    <row r="801" spans="1:8" x14ac:dyDescent="0.25">
      <c r="A801" s="1" t="str">
        <f>"08086"</f>
        <v>08086</v>
      </c>
      <c r="B801" s="1" t="str">
        <f>"15804"</f>
        <v>15804</v>
      </c>
      <c r="C801" s="1" t="str">
        <f>"THOROFARE"</f>
        <v>THOROFARE</v>
      </c>
      <c r="D801" s="1" t="str">
        <f>"NJ"</f>
        <v>NJ</v>
      </c>
      <c r="E801" s="2">
        <v>1</v>
      </c>
      <c r="F801" s="2">
        <v>1</v>
      </c>
      <c r="G801" s="2">
        <v>1</v>
      </c>
      <c r="H801" s="2">
        <v>1</v>
      </c>
    </row>
    <row r="802" spans="1:8" x14ac:dyDescent="0.25">
      <c r="A802" s="1" t="str">
        <f>"11202"</f>
        <v>11202</v>
      </c>
      <c r="B802" s="1" t="str">
        <f>"35614"</f>
        <v>35614</v>
      </c>
      <c r="C802" s="1" t="str">
        <f>"BROOKLYN"</f>
        <v>BROOKLYN</v>
      </c>
      <c r="D802" s="1" t="str">
        <f>"NY"</f>
        <v>NY</v>
      </c>
      <c r="E802" s="2">
        <v>1</v>
      </c>
      <c r="F802" s="2">
        <v>1</v>
      </c>
      <c r="G802" s="2">
        <v>1</v>
      </c>
      <c r="H802" s="2">
        <v>1</v>
      </c>
    </row>
    <row r="803" spans="1:8" x14ac:dyDescent="0.25">
      <c r="A803" s="1" t="str">
        <f>"11697"</f>
        <v>11697</v>
      </c>
      <c r="B803" s="1" t="str">
        <f>"35614"</f>
        <v>35614</v>
      </c>
      <c r="C803" s="1" t="str">
        <f>"BREEZY POINT"</f>
        <v>BREEZY POINT</v>
      </c>
      <c r="D803" s="1" t="str">
        <f>"NY"</f>
        <v>NY</v>
      </c>
      <c r="E803" s="2">
        <v>1</v>
      </c>
      <c r="F803" s="2">
        <v>1</v>
      </c>
      <c r="G803" s="2">
        <v>1</v>
      </c>
      <c r="H803" s="2">
        <v>1</v>
      </c>
    </row>
    <row r="804" spans="1:8" x14ac:dyDescent="0.25">
      <c r="A804" s="1" t="str">
        <f>"18920"</f>
        <v>18920</v>
      </c>
      <c r="B804" s="1" t="str">
        <f>"33874"</f>
        <v>33874</v>
      </c>
      <c r="C804" s="1" t="str">
        <f>"ERWINNA"</f>
        <v>ERWINNA</v>
      </c>
      <c r="D804" s="1" t="str">
        <f>"PA"</f>
        <v>PA</v>
      </c>
      <c r="E804" s="2">
        <v>1</v>
      </c>
      <c r="F804" s="2">
        <v>1</v>
      </c>
      <c r="G804" s="2">
        <v>1</v>
      </c>
      <c r="H804" s="2">
        <v>1</v>
      </c>
    </row>
    <row r="805" spans="1:8" x14ac:dyDescent="0.25">
      <c r="A805" s="1" t="str">
        <f>"20523"</f>
        <v>20523</v>
      </c>
      <c r="B805" s="1" t="str">
        <f>"47894"</f>
        <v>47894</v>
      </c>
      <c r="C805" s="1" t="str">
        <f>"WASHINGTON"</f>
        <v>WASHINGTON</v>
      </c>
      <c r="D805" s="1" t="str">
        <f>"DC"</f>
        <v>DC</v>
      </c>
      <c r="E805" s="2">
        <v>0</v>
      </c>
      <c r="F805" s="2">
        <v>1</v>
      </c>
      <c r="G805" s="2">
        <v>0</v>
      </c>
      <c r="H805" s="2">
        <v>1</v>
      </c>
    </row>
    <row r="806" spans="1:8" x14ac:dyDescent="0.25">
      <c r="A806" s="1" t="str">
        <f>"20753"</f>
        <v>20753</v>
      </c>
      <c r="B806" s="1" t="str">
        <f>"47894"</f>
        <v>47894</v>
      </c>
      <c r="C806" s="1" t="str">
        <f>"DISTRICT HEIGHTS"</f>
        <v>DISTRICT HEIGHTS</v>
      </c>
      <c r="D806" s="1" t="str">
        <f>"MD"</f>
        <v>MD</v>
      </c>
      <c r="E806" s="2">
        <v>1</v>
      </c>
      <c r="F806" s="2">
        <v>1</v>
      </c>
      <c r="G806" s="2">
        <v>1</v>
      </c>
      <c r="H806" s="2">
        <v>1</v>
      </c>
    </row>
    <row r="807" spans="1:8" x14ac:dyDescent="0.25">
      <c r="A807" s="1" t="str">
        <f>"22649"</f>
        <v>22649</v>
      </c>
      <c r="B807" s="1" t="str">
        <f>"47894"</f>
        <v>47894</v>
      </c>
      <c r="C807" s="1" t="str">
        <f>"MIDDLETOWN"</f>
        <v>MIDDLETOWN</v>
      </c>
      <c r="D807" s="1" t="str">
        <f>"VA"</f>
        <v>VA</v>
      </c>
      <c r="E807" s="2">
        <v>1</v>
      </c>
      <c r="F807" s="2">
        <v>1</v>
      </c>
      <c r="G807" s="2">
        <v>1</v>
      </c>
      <c r="H807" s="2">
        <v>1</v>
      </c>
    </row>
    <row r="808" spans="1:8" x14ac:dyDescent="0.25">
      <c r="A808" s="1" t="str">
        <f>"60009"</f>
        <v>60009</v>
      </c>
      <c r="B808" s="1" t="str">
        <f>"16984"</f>
        <v>16984</v>
      </c>
      <c r="C808" s="1" t="str">
        <f>"ELK GROVE VILLAGE"</f>
        <v>ELK GROVE VILLAGE</v>
      </c>
      <c r="D808" s="1" t="str">
        <f>"IL"</f>
        <v>IL</v>
      </c>
      <c r="E808" s="2">
        <v>1</v>
      </c>
      <c r="F808" s="2">
        <v>1</v>
      </c>
      <c r="G808" s="2">
        <v>1</v>
      </c>
      <c r="H808" s="2">
        <v>1</v>
      </c>
    </row>
    <row r="809" spans="1:8" x14ac:dyDescent="0.25">
      <c r="A809" s="1" t="str">
        <f>"01865"</f>
        <v>01865</v>
      </c>
      <c r="B809" s="1" t="str">
        <f>"15764"</f>
        <v>15764</v>
      </c>
      <c r="C809" s="1" t="str">
        <f>"NUTTING LAKE"</f>
        <v>NUTTING LAKE</v>
      </c>
      <c r="D809" s="1" t="str">
        <f>"MA"</f>
        <v>MA</v>
      </c>
      <c r="E809" s="2">
        <v>1</v>
      </c>
      <c r="F809" s="2">
        <v>1</v>
      </c>
      <c r="G809" s="2">
        <v>1</v>
      </c>
      <c r="H809" s="2">
        <v>1</v>
      </c>
    </row>
    <row r="810" spans="1:8" x14ac:dyDescent="0.25">
      <c r="A810" s="1" t="str">
        <f>"19113"</f>
        <v>19113</v>
      </c>
      <c r="B810" s="1" t="str">
        <f>"37964"</f>
        <v>37964</v>
      </c>
      <c r="C810" s="1" t="str">
        <f>"PHILADELPHIA"</f>
        <v>PHILADELPHIA</v>
      </c>
      <c r="D810" s="1" t="str">
        <f>"PA"</f>
        <v>PA</v>
      </c>
      <c r="E810" s="2">
        <v>0</v>
      </c>
      <c r="F810" s="2">
        <v>1</v>
      </c>
      <c r="G810" s="2">
        <v>1</v>
      </c>
      <c r="H810" s="2">
        <v>1</v>
      </c>
    </row>
    <row r="811" spans="1:8" x14ac:dyDescent="0.25">
      <c r="A811" s="1" t="str">
        <f>"19899"</f>
        <v>19899</v>
      </c>
      <c r="B811" s="1" t="str">
        <f>"48864"</f>
        <v>48864</v>
      </c>
      <c r="C811" s="1" t="str">
        <f>"WILMINGTON"</f>
        <v>WILMINGTON</v>
      </c>
      <c r="D811" s="1" t="str">
        <f>"DE"</f>
        <v>DE</v>
      </c>
      <c r="E811" s="2">
        <v>1</v>
      </c>
      <c r="F811" s="2">
        <v>1</v>
      </c>
      <c r="G811" s="2">
        <v>1</v>
      </c>
      <c r="H811" s="2">
        <v>1</v>
      </c>
    </row>
    <row r="812" spans="1:8" x14ac:dyDescent="0.25">
      <c r="A812" s="1" t="str">
        <f>"20372"</f>
        <v>20372</v>
      </c>
      <c r="B812" s="1" t="str">
        <f>"47894"</f>
        <v>47894</v>
      </c>
      <c r="C812" s="1" t="str">
        <f>"WASHINGTON"</f>
        <v>WASHINGTON</v>
      </c>
      <c r="D812" s="1" t="str">
        <f>"DC"</f>
        <v>DC</v>
      </c>
      <c r="E812" s="2">
        <v>0</v>
      </c>
      <c r="F812" s="2">
        <v>1</v>
      </c>
      <c r="G812" s="2">
        <v>1</v>
      </c>
      <c r="H812" s="2">
        <v>1</v>
      </c>
    </row>
    <row r="813" spans="1:8" x14ac:dyDescent="0.25">
      <c r="A813" s="1" t="str">
        <f>"20197"</f>
        <v>20197</v>
      </c>
      <c r="B813" s="1" t="str">
        <f>"47894"</f>
        <v>47894</v>
      </c>
      <c r="C813" s="1" t="str">
        <f>"WATERFORD"</f>
        <v>WATERFORD</v>
      </c>
      <c r="D813" s="1" t="str">
        <f>"VA"</f>
        <v>VA</v>
      </c>
      <c r="E813" s="2">
        <v>1</v>
      </c>
      <c r="F813" s="2">
        <v>1</v>
      </c>
      <c r="G813" s="2">
        <v>1</v>
      </c>
      <c r="H813" s="2">
        <v>1</v>
      </c>
    </row>
    <row r="814" spans="1:8" x14ac:dyDescent="0.25">
      <c r="A814" s="1" t="str">
        <f>"47957"</f>
        <v>47957</v>
      </c>
      <c r="B814" s="1" t="str">
        <f>"23844"</f>
        <v>23844</v>
      </c>
      <c r="C814" s="1" t="str">
        <f>"MEDARYVILLE"</f>
        <v>MEDARYVILLE</v>
      </c>
      <c r="D814" s="1" t="str">
        <f>"IN"</f>
        <v>IN</v>
      </c>
      <c r="E814" s="2">
        <v>1</v>
      </c>
      <c r="F814" s="2">
        <v>0</v>
      </c>
      <c r="G814" s="2">
        <v>0</v>
      </c>
      <c r="H814" s="2">
        <v>1</v>
      </c>
    </row>
    <row r="815" spans="1:8" x14ac:dyDescent="0.25">
      <c r="A815" s="1" t="str">
        <f>"47946"</f>
        <v>47946</v>
      </c>
      <c r="B815" s="1" t="str">
        <f>"23844"</f>
        <v>23844</v>
      </c>
      <c r="C815" s="1" t="str">
        <f>"FRANCESVILLE"</f>
        <v>FRANCESVILLE</v>
      </c>
      <c r="D815" s="1" t="str">
        <f>"IN"</f>
        <v>IN</v>
      </c>
      <c r="E815" s="2">
        <v>1</v>
      </c>
      <c r="F815" s="2">
        <v>1</v>
      </c>
      <c r="G815" s="2">
        <v>0</v>
      </c>
      <c r="H815" s="2">
        <v>1</v>
      </c>
    </row>
    <row r="816" spans="1:8" x14ac:dyDescent="0.25">
      <c r="A816" s="1" t="str">
        <f>"02133"</f>
        <v>02133</v>
      </c>
      <c r="B816" s="1" t="str">
        <f>"14454"</f>
        <v>14454</v>
      </c>
      <c r="C816" s="1" t="str">
        <f>"BOSTON"</f>
        <v>BOSTON</v>
      </c>
      <c r="D816" s="1" t="str">
        <f>"MA"</f>
        <v>MA</v>
      </c>
      <c r="E816" s="2">
        <v>0</v>
      </c>
      <c r="F816" s="2">
        <v>1</v>
      </c>
      <c r="G816" s="2">
        <v>1</v>
      </c>
      <c r="H816" s="2">
        <v>1</v>
      </c>
    </row>
    <row r="817" spans="1:8" x14ac:dyDescent="0.25">
      <c r="A817" s="1" t="str">
        <f>"20201"</f>
        <v>20201</v>
      </c>
      <c r="B817" s="1" t="str">
        <f>"47894"</f>
        <v>47894</v>
      </c>
      <c r="C817" s="1" t="str">
        <f>"WASHINGTON"</f>
        <v>WASHINGTON</v>
      </c>
      <c r="D817" s="1" t="str">
        <f>"DC"</f>
        <v>DC</v>
      </c>
      <c r="E817" s="2">
        <v>0</v>
      </c>
      <c r="F817" s="2">
        <v>1</v>
      </c>
      <c r="G817" s="2">
        <v>0</v>
      </c>
      <c r="H817" s="2">
        <v>1</v>
      </c>
    </row>
    <row r="818" spans="1:8" x14ac:dyDescent="0.25">
      <c r="A818" s="1" t="str">
        <f>"76096"</f>
        <v>76096</v>
      </c>
      <c r="B818" s="1" t="str">
        <f>"23104"</f>
        <v>23104</v>
      </c>
      <c r="C818" s="1" t="str">
        <f>"ARLINGTON"</f>
        <v>ARLINGTON</v>
      </c>
      <c r="D818" s="1" t="str">
        <f>"TX"</f>
        <v>TX</v>
      </c>
      <c r="E818" s="2">
        <v>1</v>
      </c>
      <c r="F818" s="2">
        <v>1</v>
      </c>
      <c r="G818" s="2">
        <v>1</v>
      </c>
      <c r="H818" s="2">
        <v>1</v>
      </c>
    </row>
    <row r="819" spans="1:8" x14ac:dyDescent="0.25">
      <c r="A819" s="1" t="str">
        <f>"91116"</f>
        <v>91116</v>
      </c>
      <c r="B819" s="1" t="str">
        <f>"31084"</f>
        <v>31084</v>
      </c>
      <c r="C819" s="1" t="str">
        <f>"PASADENA"</f>
        <v>PASADENA</v>
      </c>
      <c r="D819" s="1" t="str">
        <f>"CA"</f>
        <v>CA</v>
      </c>
      <c r="E819" s="2">
        <v>1</v>
      </c>
      <c r="F819" s="2">
        <v>1</v>
      </c>
      <c r="G819" s="2">
        <v>1</v>
      </c>
      <c r="H819" s="2">
        <v>1</v>
      </c>
    </row>
    <row r="820" spans="1:8" x14ac:dyDescent="0.25">
      <c r="A820" s="1" t="str">
        <f>"98304"</f>
        <v>98304</v>
      </c>
      <c r="B820" s="1" t="str">
        <f>"45104"</f>
        <v>45104</v>
      </c>
      <c r="C820" s="1" t="str">
        <f>"ASHFORD"</f>
        <v>ASHFORD</v>
      </c>
      <c r="D820" s="1" t="str">
        <f>"WA"</f>
        <v>WA</v>
      </c>
      <c r="E820" s="2">
        <v>1</v>
      </c>
      <c r="F820" s="2">
        <v>1</v>
      </c>
      <c r="G820" s="2">
        <v>1</v>
      </c>
      <c r="H820" s="2">
        <v>1</v>
      </c>
    </row>
    <row r="821" spans="1:8" x14ac:dyDescent="0.25">
      <c r="A821" s="1" t="str">
        <f>"98145"</f>
        <v>98145</v>
      </c>
      <c r="B821" s="1" t="str">
        <f>"42644"</f>
        <v>42644</v>
      </c>
      <c r="C821" s="1" t="str">
        <f>"SEATTLE"</f>
        <v>SEATTLE</v>
      </c>
      <c r="D821" s="1" t="str">
        <f>"WA"</f>
        <v>WA</v>
      </c>
      <c r="E821" s="2">
        <v>1</v>
      </c>
      <c r="F821" s="2">
        <v>1</v>
      </c>
      <c r="G821" s="2">
        <v>1</v>
      </c>
      <c r="H821" s="2">
        <v>1</v>
      </c>
    </row>
    <row r="822" spans="1:8" x14ac:dyDescent="0.25">
      <c r="A822" s="1" t="str">
        <f>"20771"</f>
        <v>20771</v>
      </c>
      <c r="B822" s="1" t="str">
        <f>"47894"</f>
        <v>47894</v>
      </c>
      <c r="C822" s="1" t="str">
        <f>"GREENBELT"</f>
        <v>GREENBELT</v>
      </c>
      <c r="D822" s="1" t="str">
        <f>"MD"</f>
        <v>MD</v>
      </c>
      <c r="E822" s="2">
        <v>0</v>
      </c>
      <c r="F822" s="2">
        <v>1</v>
      </c>
      <c r="G822" s="2">
        <v>0</v>
      </c>
      <c r="H822" s="2">
        <v>1</v>
      </c>
    </row>
    <row r="823" spans="1:8" x14ac:dyDescent="0.25">
      <c r="A823" s="1" t="str">
        <f>"33163"</f>
        <v>33163</v>
      </c>
      <c r="B823" s="1" t="str">
        <f>"33124"</f>
        <v>33124</v>
      </c>
      <c r="C823" s="1" t="str">
        <f>"MIAMI"</f>
        <v>MIAMI</v>
      </c>
      <c r="D823" s="1" t="str">
        <f>"FL"</f>
        <v>FL</v>
      </c>
      <c r="E823" s="2">
        <v>1</v>
      </c>
      <c r="F823" s="2">
        <v>1</v>
      </c>
      <c r="G823" s="2">
        <v>1</v>
      </c>
      <c r="H823" s="2">
        <v>1</v>
      </c>
    </row>
    <row r="824" spans="1:8" x14ac:dyDescent="0.25">
      <c r="A824" s="1" t="str">
        <f>"22035"</f>
        <v>22035</v>
      </c>
      <c r="B824" s="1" t="str">
        <f>"47894"</f>
        <v>47894</v>
      </c>
      <c r="C824" s="1" t="str">
        <f>"FAIRFAX"</f>
        <v>FAIRFAX</v>
      </c>
      <c r="D824" s="1" t="str">
        <f>"VA"</f>
        <v>VA</v>
      </c>
      <c r="E824" s="2">
        <v>0</v>
      </c>
      <c r="F824" s="2">
        <v>1</v>
      </c>
      <c r="G824" s="2">
        <v>1</v>
      </c>
      <c r="H824" s="2">
        <v>1</v>
      </c>
    </row>
    <row r="825" spans="1:8" x14ac:dyDescent="0.25">
      <c r="A825" s="1" t="str">
        <f>"75458"</f>
        <v>75458</v>
      </c>
      <c r="B825" s="1" t="str">
        <f>"19124"</f>
        <v>19124</v>
      </c>
      <c r="C825" s="1" t="str">
        <f>"MERIT"</f>
        <v>MERIT</v>
      </c>
      <c r="D825" s="1" t="str">
        <f>"TX"</f>
        <v>TX</v>
      </c>
      <c r="E825" s="2">
        <v>0</v>
      </c>
      <c r="F825" s="2">
        <v>0</v>
      </c>
      <c r="G825" s="2">
        <v>1</v>
      </c>
      <c r="H825" s="2">
        <v>1</v>
      </c>
    </row>
    <row r="826" spans="1:8" x14ac:dyDescent="0.25">
      <c r="A826" s="1" t="str">
        <f>"75157"</f>
        <v>75157</v>
      </c>
      <c r="B826" s="1" t="str">
        <f>"19124"</f>
        <v>19124</v>
      </c>
      <c r="C826" s="1" t="str">
        <f>"ROSSER"</f>
        <v>ROSSER</v>
      </c>
      <c r="D826" s="1" t="str">
        <f>"TX"</f>
        <v>TX</v>
      </c>
      <c r="E826" s="2">
        <v>1</v>
      </c>
      <c r="F826" s="2">
        <v>1</v>
      </c>
      <c r="G826" s="2">
        <v>0</v>
      </c>
      <c r="H826" s="2">
        <v>1</v>
      </c>
    </row>
    <row r="827" spans="1:8" x14ac:dyDescent="0.25">
      <c r="A827" s="1" t="str">
        <f>"91012"</f>
        <v>91012</v>
      </c>
      <c r="B827" s="1" t="str">
        <f>"31084"</f>
        <v>31084</v>
      </c>
      <c r="C827" s="1" t="str">
        <f>"LA CANADA FLINTRIDGE"</f>
        <v>LA CANADA FLINTRIDGE</v>
      </c>
      <c r="D827" s="1" t="str">
        <f>"CA"</f>
        <v>CA</v>
      </c>
      <c r="E827" s="2">
        <v>1</v>
      </c>
      <c r="F827" s="2">
        <v>1</v>
      </c>
      <c r="G827" s="2">
        <v>1</v>
      </c>
      <c r="H827" s="2">
        <v>1</v>
      </c>
    </row>
    <row r="828" spans="1:8" x14ac:dyDescent="0.25">
      <c r="A828" s="1" t="str">
        <f>"19505"</f>
        <v>19505</v>
      </c>
      <c r="B828" s="1" t="str">
        <f>"33874"</f>
        <v>33874</v>
      </c>
      <c r="C828" s="1" t="str">
        <f>"BECHTELSVILLE"</f>
        <v>BECHTELSVILLE</v>
      </c>
      <c r="D828" s="1" t="str">
        <f>"PA"</f>
        <v>PA</v>
      </c>
      <c r="E828" s="2">
        <v>1</v>
      </c>
      <c r="F828" s="2">
        <v>1</v>
      </c>
      <c r="G828" s="2">
        <v>1</v>
      </c>
      <c r="H828" s="2">
        <v>1</v>
      </c>
    </row>
    <row r="829" spans="1:8" x14ac:dyDescent="0.25">
      <c r="A829" s="1" t="str">
        <f>"94083"</f>
        <v>94083</v>
      </c>
      <c r="B829" s="1" t="str">
        <f>"41884"</f>
        <v>41884</v>
      </c>
      <c r="C829" s="1" t="str">
        <f>"SOUTH SAN FRANCISCO"</f>
        <v>SOUTH SAN FRANCISCO</v>
      </c>
      <c r="D829" s="1" t="str">
        <f>"CA"</f>
        <v>CA</v>
      </c>
      <c r="E829" s="2">
        <v>1</v>
      </c>
      <c r="F829" s="2">
        <v>1</v>
      </c>
      <c r="G829" s="2">
        <v>1</v>
      </c>
      <c r="H829" s="2">
        <v>1</v>
      </c>
    </row>
    <row r="830" spans="1:8" x14ac:dyDescent="0.25">
      <c r="A830" s="1" t="str">
        <f>"20913"</f>
        <v>20913</v>
      </c>
      <c r="B830" s="1" t="str">
        <f>"23224"</f>
        <v>23224</v>
      </c>
      <c r="C830" s="1" t="str">
        <f>"TAKOMA PARK"</f>
        <v>TAKOMA PARK</v>
      </c>
      <c r="D830" s="1" t="str">
        <f>"MD"</f>
        <v>MD</v>
      </c>
      <c r="E830" s="2">
        <v>1</v>
      </c>
      <c r="F830" s="2">
        <v>1</v>
      </c>
      <c r="G830" s="2">
        <v>1</v>
      </c>
      <c r="H830" s="2">
        <v>1</v>
      </c>
    </row>
    <row r="831" spans="1:8" x14ac:dyDescent="0.25">
      <c r="A831" s="1" t="str">
        <f>"33465"</f>
        <v>33465</v>
      </c>
      <c r="B831" s="1" t="str">
        <f>"48424"</f>
        <v>48424</v>
      </c>
      <c r="C831" s="1" t="str">
        <f>"LAKE WORTH"</f>
        <v>LAKE WORTH</v>
      </c>
      <c r="D831" s="1" t="str">
        <f>"FL"</f>
        <v>FL</v>
      </c>
      <c r="E831" s="2">
        <v>1</v>
      </c>
      <c r="F831" s="2">
        <v>1</v>
      </c>
      <c r="G831" s="2">
        <v>1</v>
      </c>
      <c r="H831" s="2">
        <v>1</v>
      </c>
    </row>
    <row r="832" spans="1:8" x14ac:dyDescent="0.25">
      <c r="A832" s="1" t="str">
        <f>"01532"</f>
        <v>01532</v>
      </c>
      <c r="B832" s="1" t="str">
        <f>"15764"</f>
        <v>15764</v>
      </c>
      <c r="C832" s="1" t="str">
        <f>"NORTHBOROUGH"</f>
        <v>NORTHBOROUGH</v>
      </c>
      <c r="D832" s="1" t="str">
        <f>"MA"</f>
        <v>MA</v>
      </c>
      <c r="E832" s="2">
        <v>1</v>
      </c>
      <c r="F832" s="2">
        <v>1</v>
      </c>
      <c r="G832" s="2">
        <v>0</v>
      </c>
      <c r="H832" s="2">
        <v>1</v>
      </c>
    </row>
    <row r="833" spans="1:8" x14ac:dyDescent="0.25">
      <c r="A833" s="1" t="str">
        <f>"91222"</f>
        <v>91222</v>
      </c>
      <c r="B833" s="1" t="str">
        <f>"31084"</f>
        <v>31084</v>
      </c>
      <c r="C833" s="1" t="str">
        <f>"GLENDALE"</f>
        <v>GLENDALE</v>
      </c>
      <c r="D833" s="1" t="str">
        <f>"CA"</f>
        <v>CA</v>
      </c>
      <c r="E833" s="2">
        <v>1</v>
      </c>
      <c r="F833" s="2">
        <v>1</v>
      </c>
      <c r="G833" s="2">
        <v>1</v>
      </c>
      <c r="H833" s="2">
        <v>1</v>
      </c>
    </row>
    <row r="834" spans="1:8" x14ac:dyDescent="0.25">
      <c r="A834" s="1" t="str">
        <f>"17527"</f>
        <v>17527</v>
      </c>
      <c r="B834" s="1" t="str">
        <f>"33874"</f>
        <v>33874</v>
      </c>
      <c r="C834" s="1" t="str">
        <f>"GAP"</f>
        <v>GAP</v>
      </c>
      <c r="D834" s="1" t="str">
        <f>"PA"</f>
        <v>PA</v>
      </c>
      <c r="E834" s="2">
        <v>1</v>
      </c>
      <c r="F834" s="2">
        <v>1</v>
      </c>
      <c r="G834" s="2">
        <v>0</v>
      </c>
      <c r="H834" s="2">
        <v>1</v>
      </c>
    </row>
    <row r="835" spans="1:8" x14ac:dyDescent="0.25">
      <c r="A835" s="1" t="str">
        <f>"20159"</f>
        <v>20159</v>
      </c>
      <c r="B835" s="1" t="str">
        <f>"47894"</f>
        <v>47894</v>
      </c>
      <c r="C835" s="1" t="str">
        <f>"HAMILTON"</f>
        <v>HAMILTON</v>
      </c>
      <c r="D835" s="1" t="str">
        <f>"VA"</f>
        <v>VA</v>
      </c>
      <c r="E835" s="2">
        <v>1</v>
      </c>
      <c r="F835" s="2">
        <v>1</v>
      </c>
      <c r="G835" s="2">
        <v>1</v>
      </c>
      <c r="H835" s="2">
        <v>1</v>
      </c>
    </row>
    <row r="836" spans="1:8" x14ac:dyDescent="0.25">
      <c r="A836" s="1" t="str">
        <f>"91189"</f>
        <v>91189</v>
      </c>
      <c r="B836" s="1" t="str">
        <f>"31084"</f>
        <v>31084</v>
      </c>
      <c r="C836" s="1" t="str">
        <f>"PASADENA"</f>
        <v>PASADENA</v>
      </c>
      <c r="D836" s="1" t="str">
        <f>"CA"</f>
        <v>CA</v>
      </c>
      <c r="E836" s="2">
        <v>0</v>
      </c>
      <c r="F836" s="2">
        <v>1</v>
      </c>
      <c r="G836" s="2">
        <v>0</v>
      </c>
      <c r="H836" s="2">
        <v>1</v>
      </c>
    </row>
    <row r="837" spans="1:8" x14ac:dyDescent="0.25">
      <c r="A837" s="1" t="str">
        <f>"46302"</f>
        <v>46302</v>
      </c>
      <c r="B837" s="1" t="str">
        <f>"23844"</f>
        <v>23844</v>
      </c>
      <c r="C837" s="1" t="str">
        <f>"BOONE GROVE"</f>
        <v>BOONE GROVE</v>
      </c>
      <c r="D837" s="1" t="str">
        <f>"IN"</f>
        <v>IN</v>
      </c>
      <c r="E837" s="2">
        <v>1</v>
      </c>
      <c r="F837" s="2">
        <v>1</v>
      </c>
      <c r="G837" s="2">
        <v>1</v>
      </c>
      <c r="H837" s="2">
        <v>1</v>
      </c>
    </row>
    <row r="838" spans="1:8" x14ac:dyDescent="0.25">
      <c r="A838" s="1" t="str">
        <f>"60678"</f>
        <v>60678</v>
      </c>
      <c r="B838" s="1" t="str">
        <f>"16984"</f>
        <v>16984</v>
      </c>
      <c r="C838" s="1" t="str">
        <f>"CHICAGO"</f>
        <v>CHICAGO</v>
      </c>
      <c r="D838" s="1" t="str">
        <f>"IL"</f>
        <v>IL</v>
      </c>
      <c r="E838" s="2">
        <v>0</v>
      </c>
      <c r="F838" s="2">
        <v>0</v>
      </c>
      <c r="G838" s="2">
        <v>1</v>
      </c>
      <c r="H838" s="2">
        <v>1</v>
      </c>
    </row>
    <row r="839" spans="1:8" x14ac:dyDescent="0.25">
      <c r="A839" s="1" t="str">
        <f>"90846"</f>
        <v>90846</v>
      </c>
      <c r="B839" s="1" t="str">
        <f>"31084"</f>
        <v>31084</v>
      </c>
      <c r="C839" s="1" t="str">
        <f>"LONG BEACH"</f>
        <v>LONG BEACH</v>
      </c>
      <c r="D839" s="1" t="str">
        <f>"CA"</f>
        <v>CA</v>
      </c>
      <c r="E839" s="2">
        <v>0</v>
      </c>
      <c r="F839" s="2">
        <v>1</v>
      </c>
      <c r="G839" s="2">
        <v>0</v>
      </c>
      <c r="H839" s="2">
        <v>1</v>
      </c>
    </row>
    <row r="840" spans="1:8" x14ac:dyDescent="0.25">
      <c r="A840" s="1" t="str">
        <f>"18968"</f>
        <v>18968</v>
      </c>
      <c r="B840" s="1" t="str">
        <f>"33874"</f>
        <v>33874</v>
      </c>
      <c r="C840" s="1" t="str">
        <f>"SPINNERSTOWN"</f>
        <v>SPINNERSTOWN</v>
      </c>
      <c r="D840" s="1" t="str">
        <f>"PA"</f>
        <v>PA</v>
      </c>
      <c r="E840" s="2">
        <v>0</v>
      </c>
      <c r="F840" s="2">
        <v>0</v>
      </c>
      <c r="G840" s="2">
        <v>1</v>
      </c>
      <c r="H840" s="2">
        <v>1</v>
      </c>
    </row>
    <row r="841" spans="1:8" x14ac:dyDescent="0.25">
      <c r="A841" s="1" t="str">
        <f>"07870"</f>
        <v>07870</v>
      </c>
      <c r="B841" s="1" t="str">
        <f>"35084"</f>
        <v>35084</v>
      </c>
      <c r="C841" s="1" t="str">
        <f>"SCHOOLEYS MOUNTAIN"</f>
        <v>SCHOOLEYS MOUNTAIN</v>
      </c>
      <c r="D841" s="1" t="str">
        <f>"NJ"</f>
        <v>NJ</v>
      </c>
      <c r="E841" s="2">
        <v>0</v>
      </c>
      <c r="F841" s="2">
        <v>0</v>
      </c>
      <c r="G841" s="2">
        <v>1</v>
      </c>
      <c r="H841" s="2">
        <v>1</v>
      </c>
    </row>
    <row r="842" spans="1:8" x14ac:dyDescent="0.25">
      <c r="A842" s="1" t="str">
        <f>"20415"</f>
        <v>20415</v>
      </c>
      <c r="B842" s="1" t="str">
        <f>"47894"</f>
        <v>47894</v>
      </c>
      <c r="C842" s="1" t="str">
        <f>"WASHINGTON"</f>
        <v>WASHINGTON</v>
      </c>
      <c r="D842" s="1" t="str">
        <f>"DC"</f>
        <v>DC</v>
      </c>
      <c r="E842" s="2">
        <v>0</v>
      </c>
      <c r="F842" s="2">
        <v>1</v>
      </c>
      <c r="G842" s="2">
        <v>0</v>
      </c>
      <c r="H842" s="2">
        <v>1</v>
      </c>
    </row>
    <row r="843" spans="1:8" x14ac:dyDescent="0.25">
      <c r="A843" s="1" t="str">
        <f>"20456"</f>
        <v>20456</v>
      </c>
      <c r="B843" s="1" t="str">
        <f>"47894"</f>
        <v>47894</v>
      </c>
      <c r="C843" s="1" t="str">
        <f>"WASHINGTON"</f>
        <v>WASHINGTON</v>
      </c>
      <c r="D843" s="1" t="str">
        <f>"DC"</f>
        <v>DC</v>
      </c>
      <c r="E843" s="2">
        <v>0</v>
      </c>
      <c r="F843" s="2">
        <v>1</v>
      </c>
      <c r="G843" s="2">
        <v>0</v>
      </c>
      <c r="H843" s="2">
        <v>1</v>
      </c>
    </row>
    <row r="844" spans="1:8" x14ac:dyDescent="0.25">
      <c r="A844" s="1" t="str">
        <f>"07097"</f>
        <v>07097</v>
      </c>
      <c r="B844" s="1" t="str">
        <f>"35614"</f>
        <v>35614</v>
      </c>
      <c r="C844" s="1" t="str">
        <f>"JERSEY CITY"</f>
        <v>JERSEY CITY</v>
      </c>
      <c r="D844" s="1" t="str">
        <f>"NJ"</f>
        <v>NJ</v>
      </c>
      <c r="E844" s="2">
        <v>0</v>
      </c>
      <c r="F844" s="2">
        <v>0</v>
      </c>
      <c r="G844" s="2">
        <v>1</v>
      </c>
      <c r="H844" s="2">
        <v>1</v>
      </c>
    </row>
    <row r="845" spans="1:8" x14ac:dyDescent="0.25">
      <c r="A845" s="1" t="str">
        <f>"98493"</f>
        <v>98493</v>
      </c>
      <c r="B845" s="1" t="str">
        <f>"45104"</f>
        <v>45104</v>
      </c>
      <c r="C845" s="1" t="str">
        <f>"TACOMA"</f>
        <v>TACOMA</v>
      </c>
      <c r="D845" s="1" t="str">
        <f>"WA"</f>
        <v>WA</v>
      </c>
      <c r="E845" s="2">
        <v>0</v>
      </c>
      <c r="F845" s="2">
        <v>1</v>
      </c>
      <c r="G845" s="2">
        <v>0</v>
      </c>
      <c r="H845" s="2">
        <v>1</v>
      </c>
    </row>
    <row r="846" spans="1:8" x14ac:dyDescent="0.25">
      <c r="A846" s="1" t="str">
        <f>"20993"</f>
        <v>20993</v>
      </c>
      <c r="B846" s="1" t="str">
        <f>"23224"</f>
        <v>23224</v>
      </c>
      <c r="C846" s="1" t="str">
        <f>"SILVER SPRING"</f>
        <v>SILVER SPRING</v>
      </c>
      <c r="D846" s="1" t="str">
        <f>"MD"</f>
        <v>MD</v>
      </c>
      <c r="E846" s="2">
        <v>0</v>
      </c>
      <c r="F846" s="2">
        <v>1</v>
      </c>
      <c r="G846" s="2">
        <v>1</v>
      </c>
      <c r="H846" s="2">
        <v>1</v>
      </c>
    </row>
    <row r="847" spans="1:8" x14ac:dyDescent="0.25">
      <c r="A847" s="1" t="str">
        <f>"22109"</f>
        <v>22109</v>
      </c>
      <c r="B847" s="1" t="str">
        <f>"47894"</f>
        <v>47894</v>
      </c>
      <c r="C847" s="1" t="str">
        <f>"MC LEAN"</f>
        <v>MC LEAN</v>
      </c>
      <c r="D847" s="1" t="str">
        <f>"VA"</f>
        <v>VA</v>
      </c>
      <c r="E847" s="2">
        <v>0</v>
      </c>
      <c r="F847" s="2">
        <v>1</v>
      </c>
      <c r="G847" s="2">
        <v>0</v>
      </c>
      <c r="H847" s="2">
        <v>1</v>
      </c>
    </row>
    <row r="848" spans="1:8" x14ac:dyDescent="0.25">
      <c r="A848" s="1" t="str">
        <f>"20509"</f>
        <v>20509</v>
      </c>
      <c r="B848" s="1" t="str">
        <f>"47894"</f>
        <v>47894</v>
      </c>
      <c r="C848" s="1" t="str">
        <f>"WASHINGTON"</f>
        <v>WASHINGTON</v>
      </c>
      <c r="D848" s="1" t="str">
        <f>"DC"</f>
        <v>DC</v>
      </c>
      <c r="E848" s="2">
        <v>0</v>
      </c>
      <c r="F848" s="2">
        <v>1</v>
      </c>
      <c r="G848" s="2">
        <v>0</v>
      </c>
      <c r="H848" s="2">
        <v>1</v>
      </c>
    </row>
    <row r="849" spans="1:8" x14ac:dyDescent="0.25">
      <c r="A849" s="1" t="str">
        <f>"75121"</f>
        <v>75121</v>
      </c>
      <c r="B849" s="1" t="str">
        <f>"19124"</f>
        <v>19124</v>
      </c>
      <c r="C849" s="1" t="str">
        <f>"COPEVILLE"</f>
        <v>COPEVILLE</v>
      </c>
      <c r="D849" s="1" t="str">
        <f>"TX"</f>
        <v>TX</v>
      </c>
      <c r="E849" s="2">
        <v>0</v>
      </c>
      <c r="F849" s="2">
        <v>1</v>
      </c>
      <c r="G849" s="2">
        <v>0</v>
      </c>
      <c r="H849" s="2">
        <v>1</v>
      </c>
    </row>
    <row r="850" spans="1:8" x14ac:dyDescent="0.25">
      <c r="A850" s="1" t="str">
        <f>"11499"</f>
        <v>11499</v>
      </c>
      <c r="B850" s="1" t="str">
        <f>"35614"</f>
        <v>35614</v>
      </c>
      <c r="C850" s="1" t="str">
        <f>"JAMAICA"</f>
        <v>JAMAICA</v>
      </c>
      <c r="D850" s="1" t="str">
        <f>"NY"</f>
        <v>NY</v>
      </c>
      <c r="E850" s="2">
        <v>0</v>
      </c>
      <c r="F850" s="2">
        <v>1</v>
      </c>
      <c r="G850" s="2">
        <v>0</v>
      </c>
      <c r="H850" s="2">
        <v>1</v>
      </c>
    </row>
    <row r="851" spans="1:8" x14ac:dyDescent="0.25">
      <c r="A851" s="1" t="str">
        <f>"19409"</f>
        <v>19409</v>
      </c>
      <c r="B851" s="1" t="str">
        <f>"33874"</f>
        <v>33874</v>
      </c>
      <c r="C851" s="1" t="str">
        <f>"FAIRVIEW VILLAGE"</f>
        <v>FAIRVIEW VILLAGE</v>
      </c>
      <c r="D851" s="1" t="str">
        <f>"PA"</f>
        <v>PA</v>
      </c>
      <c r="E851" s="2">
        <v>0</v>
      </c>
      <c r="F851" s="2">
        <v>0</v>
      </c>
      <c r="G851" s="2">
        <v>1</v>
      </c>
      <c r="H851" s="2">
        <v>1</v>
      </c>
    </row>
    <row r="852" spans="1:8" x14ac:dyDescent="0.25">
      <c r="A852" s="1" t="str">
        <f>"20580"</f>
        <v>20580</v>
      </c>
      <c r="B852" s="1" t="str">
        <f>"47894"</f>
        <v>47894</v>
      </c>
      <c r="C852" s="1" t="str">
        <f>"WASHINGTON"</f>
        <v>WASHINGTON</v>
      </c>
      <c r="D852" s="1" t="str">
        <f>"DC"</f>
        <v>DC</v>
      </c>
      <c r="E852" s="2">
        <v>0</v>
      </c>
      <c r="F852" s="2">
        <v>1</v>
      </c>
      <c r="G852" s="2">
        <v>0</v>
      </c>
      <c r="H852" s="2">
        <v>1</v>
      </c>
    </row>
    <row r="853" spans="1:8" x14ac:dyDescent="0.25">
      <c r="A853" s="1" t="str">
        <f>"22082"</f>
        <v>22082</v>
      </c>
      <c r="B853" s="1" t="str">
        <f>"47894"</f>
        <v>47894</v>
      </c>
      <c r="C853" s="1" t="str">
        <f>"MERRIFIELD"</f>
        <v>MERRIFIELD</v>
      </c>
      <c r="D853" s="1" t="str">
        <f>"VA"</f>
        <v>VA</v>
      </c>
      <c r="E853" s="2">
        <v>0</v>
      </c>
      <c r="F853" s="2">
        <v>1</v>
      </c>
      <c r="G853" s="2">
        <v>0</v>
      </c>
      <c r="H853" s="2">
        <v>1</v>
      </c>
    </row>
    <row r="854" spans="1:8" x14ac:dyDescent="0.25">
      <c r="A854" s="1" t="str">
        <f>"60670"</f>
        <v>60670</v>
      </c>
      <c r="B854" s="1" t="str">
        <f>"16984"</f>
        <v>16984</v>
      </c>
      <c r="C854" s="1" t="str">
        <f>"CHICAGO"</f>
        <v>CHICAGO</v>
      </c>
      <c r="D854" s="1" t="str">
        <f>"IL"</f>
        <v>IL</v>
      </c>
      <c r="E854" s="2">
        <v>0</v>
      </c>
      <c r="F854" s="2">
        <v>0</v>
      </c>
      <c r="G854" s="2">
        <v>1</v>
      </c>
      <c r="H854" s="2">
        <v>1</v>
      </c>
    </row>
    <row r="855" spans="1:8" x14ac:dyDescent="0.25">
      <c r="A855" s="1" t="str">
        <f>"92862"</f>
        <v>92862</v>
      </c>
      <c r="B855" s="1" t="str">
        <f>"11244"</f>
        <v>11244</v>
      </c>
      <c r="C855" s="1" t="str">
        <f>"ORANGE"</f>
        <v>ORANGE</v>
      </c>
      <c r="D855" s="1" t="str">
        <f>"CA"</f>
        <v>CA</v>
      </c>
      <c r="E855" s="2">
        <v>0</v>
      </c>
      <c r="F855" s="2">
        <v>0</v>
      </c>
      <c r="G855" s="2">
        <v>1</v>
      </c>
      <c r="H855" s="2">
        <v>1</v>
      </c>
    </row>
    <row r="856" spans="1:8" x14ac:dyDescent="0.25">
      <c r="A856" s="1" t="str">
        <f>"01720"</f>
        <v>01720</v>
      </c>
      <c r="B856" s="1" t="str">
        <f>"15764"</f>
        <v>15764</v>
      </c>
      <c r="C856" s="1" t="str">
        <f>"ACTON"</f>
        <v>ACTON</v>
      </c>
      <c r="D856" s="1" t="str">
        <f>"MA"</f>
        <v>MA</v>
      </c>
      <c r="E856" s="2">
        <v>1</v>
      </c>
      <c r="F856" s="2">
        <v>1</v>
      </c>
      <c r="G856" s="2">
        <v>1</v>
      </c>
      <c r="H856" s="2">
        <v>1</v>
      </c>
    </row>
    <row r="857" spans="1:8" x14ac:dyDescent="0.25">
      <c r="A857" s="1" t="str">
        <f>"01907"</f>
        <v>01907</v>
      </c>
      <c r="B857" s="1" t="str">
        <f>"15764"</f>
        <v>15764</v>
      </c>
      <c r="C857" s="1" t="str">
        <f>"SWAMPSCOTT"</f>
        <v>SWAMPSCOTT</v>
      </c>
      <c r="D857" s="1" t="str">
        <f>"MA"</f>
        <v>MA</v>
      </c>
      <c r="E857" s="2">
        <v>1</v>
      </c>
      <c r="F857" s="2">
        <v>1</v>
      </c>
      <c r="G857" s="2">
        <v>1</v>
      </c>
      <c r="H857" s="2">
        <v>1</v>
      </c>
    </row>
    <row r="858" spans="1:8" x14ac:dyDescent="0.25">
      <c r="A858" s="1" t="str">
        <f>"01913"</f>
        <v>01913</v>
      </c>
      <c r="B858" s="1" t="str">
        <f>"15764"</f>
        <v>15764</v>
      </c>
      <c r="C858" s="1" t="str">
        <f>"AMESBURY"</f>
        <v>AMESBURY</v>
      </c>
      <c r="D858" s="1" t="str">
        <f>"MA"</f>
        <v>MA</v>
      </c>
      <c r="E858" s="2">
        <v>1</v>
      </c>
      <c r="F858" s="2">
        <v>1</v>
      </c>
      <c r="G858" s="2">
        <v>1</v>
      </c>
      <c r="H858" s="2">
        <v>1</v>
      </c>
    </row>
    <row r="859" spans="1:8" x14ac:dyDescent="0.25">
      <c r="A859" s="1" t="str">
        <f>"02770"</f>
        <v>02770</v>
      </c>
      <c r="B859" s="1" t="str">
        <f>"14454"</f>
        <v>14454</v>
      </c>
      <c r="C859" s="1" t="str">
        <f>"ROCHESTER"</f>
        <v>ROCHESTER</v>
      </c>
      <c r="D859" s="1" t="str">
        <f>"MA"</f>
        <v>MA</v>
      </c>
      <c r="E859" s="2">
        <v>1</v>
      </c>
      <c r="F859" s="2">
        <v>1</v>
      </c>
      <c r="G859" s="2">
        <v>1</v>
      </c>
      <c r="H859" s="2">
        <v>1</v>
      </c>
    </row>
    <row r="860" spans="1:8" x14ac:dyDescent="0.25">
      <c r="A860" s="1" t="str">
        <f>"07017"</f>
        <v>07017</v>
      </c>
      <c r="B860" s="1" t="str">
        <f>"35084"</f>
        <v>35084</v>
      </c>
      <c r="C860" s="1" t="str">
        <f>"EAST ORANGE"</f>
        <v>EAST ORANGE</v>
      </c>
      <c r="D860" s="1" t="str">
        <f t="shared" ref="D860:D868" si="62">"NJ"</f>
        <v>NJ</v>
      </c>
      <c r="E860" s="2">
        <v>1</v>
      </c>
      <c r="F860" s="2">
        <v>1</v>
      </c>
      <c r="G860" s="2">
        <v>1</v>
      </c>
      <c r="H860" s="2">
        <v>1</v>
      </c>
    </row>
    <row r="861" spans="1:8" x14ac:dyDescent="0.25">
      <c r="A861" s="1" t="str">
        <f>"07031"</f>
        <v>07031</v>
      </c>
      <c r="B861" s="1" t="str">
        <f t="shared" ref="B861:B867" si="63">"35614"</f>
        <v>35614</v>
      </c>
      <c r="C861" s="1" t="str">
        <f>"NORTH ARLINGTON"</f>
        <v>NORTH ARLINGTON</v>
      </c>
      <c r="D861" s="1" t="str">
        <f t="shared" si="62"/>
        <v>NJ</v>
      </c>
      <c r="E861" s="2">
        <v>1</v>
      </c>
      <c r="F861" s="2">
        <v>1</v>
      </c>
      <c r="G861" s="2">
        <v>1</v>
      </c>
      <c r="H861" s="2">
        <v>1</v>
      </c>
    </row>
    <row r="862" spans="1:8" x14ac:dyDescent="0.25">
      <c r="A862" s="1" t="str">
        <f>"07424"</f>
        <v>07424</v>
      </c>
      <c r="B862" s="1" t="str">
        <f t="shared" si="63"/>
        <v>35614</v>
      </c>
      <c r="C862" s="1" t="str">
        <f>"LITTLE FALLS"</f>
        <v>LITTLE FALLS</v>
      </c>
      <c r="D862" s="1" t="str">
        <f t="shared" si="62"/>
        <v>NJ</v>
      </c>
      <c r="E862" s="2">
        <v>1</v>
      </c>
      <c r="F862" s="2">
        <v>1</v>
      </c>
      <c r="G862" s="2">
        <v>1</v>
      </c>
      <c r="H862" s="2">
        <v>1</v>
      </c>
    </row>
    <row r="863" spans="1:8" x14ac:dyDescent="0.25">
      <c r="A863" s="1" t="str">
        <f>"07456"</f>
        <v>07456</v>
      </c>
      <c r="B863" s="1" t="str">
        <f t="shared" si="63"/>
        <v>35614</v>
      </c>
      <c r="C863" s="1" t="str">
        <f>"RINGWOOD"</f>
        <v>RINGWOOD</v>
      </c>
      <c r="D863" s="1" t="str">
        <f t="shared" si="62"/>
        <v>NJ</v>
      </c>
      <c r="E863" s="2">
        <v>1</v>
      </c>
      <c r="F863" s="2">
        <v>1</v>
      </c>
      <c r="G863" s="2">
        <v>1</v>
      </c>
      <c r="H863" s="2">
        <v>1</v>
      </c>
    </row>
    <row r="864" spans="1:8" x14ac:dyDescent="0.25">
      <c r="A864" s="1" t="str">
        <f>"07503"</f>
        <v>07503</v>
      </c>
      <c r="B864" s="1" t="str">
        <f t="shared" si="63"/>
        <v>35614</v>
      </c>
      <c r="C864" s="1" t="str">
        <f>"PATERSON"</f>
        <v>PATERSON</v>
      </c>
      <c r="D864" s="1" t="str">
        <f t="shared" si="62"/>
        <v>NJ</v>
      </c>
      <c r="E864" s="2">
        <v>1</v>
      </c>
      <c r="F864" s="2">
        <v>1</v>
      </c>
      <c r="G864" s="2">
        <v>1</v>
      </c>
      <c r="H864" s="2">
        <v>1</v>
      </c>
    </row>
    <row r="865" spans="1:8" x14ac:dyDescent="0.25">
      <c r="A865" s="1" t="str">
        <f>"07513"</f>
        <v>07513</v>
      </c>
      <c r="B865" s="1" t="str">
        <f t="shared" si="63"/>
        <v>35614</v>
      </c>
      <c r="C865" s="1" t="str">
        <f>"PATERSON"</f>
        <v>PATERSON</v>
      </c>
      <c r="D865" s="1" t="str">
        <f t="shared" si="62"/>
        <v>NJ</v>
      </c>
      <c r="E865" s="2">
        <v>1</v>
      </c>
      <c r="F865" s="2">
        <v>1</v>
      </c>
      <c r="G865" s="2">
        <v>1</v>
      </c>
      <c r="H865" s="2">
        <v>1</v>
      </c>
    </row>
    <row r="866" spans="1:8" x14ac:dyDescent="0.25">
      <c r="A866" s="1" t="str">
        <f>"07660"</f>
        <v>07660</v>
      </c>
      <c r="B866" s="1" t="str">
        <f t="shared" si="63"/>
        <v>35614</v>
      </c>
      <c r="C866" s="1" t="str">
        <f>"RIDGEFIELD PARK"</f>
        <v>RIDGEFIELD PARK</v>
      </c>
      <c r="D866" s="1" t="str">
        <f t="shared" si="62"/>
        <v>NJ</v>
      </c>
      <c r="E866" s="2">
        <v>1</v>
      </c>
      <c r="F866" s="2">
        <v>1</v>
      </c>
      <c r="G866" s="2">
        <v>1</v>
      </c>
      <c r="H866" s="2">
        <v>1</v>
      </c>
    </row>
    <row r="867" spans="1:8" x14ac:dyDescent="0.25">
      <c r="A867" s="1" t="str">
        <f>"07605"</f>
        <v>07605</v>
      </c>
      <c r="B867" s="1" t="str">
        <f t="shared" si="63"/>
        <v>35614</v>
      </c>
      <c r="C867" s="1" t="str">
        <f>"LEONIA"</f>
        <v>LEONIA</v>
      </c>
      <c r="D867" s="1" t="str">
        <f t="shared" si="62"/>
        <v>NJ</v>
      </c>
      <c r="E867" s="2">
        <v>1</v>
      </c>
      <c r="F867" s="2">
        <v>1</v>
      </c>
      <c r="G867" s="2">
        <v>1</v>
      </c>
      <c r="H867" s="2">
        <v>1</v>
      </c>
    </row>
    <row r="868" spans="1:8" x14ac:dyDescent="0.25">
      <c r="A868" s="1" t="str">
        <f>"08701"</f>
        <v>08701</v>
      </c>
      <c r="B868" s="1" t="str">
        <f>"35154"</f>
        <v>35154</v>
      </c>
      <c r="C868" s="1" t="str">
        <f>"LAKEWOOD"</f>
        <v>LAKEWOOD</v>
      </c>
      <c r="D868" s="1" t="str">
        <f t="shared" si="62"/>
        <v>NJ</v>
      </c>
      <c r="E868" s="2">
        <v>1</v>
      </c>
      <c r="F868" s="2">
        <v>1</v>
      </c>
      <c r="G868" s="2">
        <v>1</v>
      </c>
      <c r="H868" s="2">
        <v>1</v>
      </c>
    </row>
    <row r="869" spans="1:8" x14ac:dyDescent="0.25">
      <c r="A869" s="1" t="str">
        <f>"10281"</f>
        <v>10281</v>
      </c>
      <c r="B869" s="1" t="str">
        <f>"35614"</f>
        <v>35614</v>
      </c>
      <c r="C869" s="1" t="str">
        <f>"NEW YORK"</f>
        <v>NEW YORK</v>
      </c>
      <c r="D869" s="1" t="str">
        <f t="shared" ref="D869:D879" si="64">"NY"</f>
        <v>NY</v>
      </c>
      <c r="E869" s="2">
        <v>0</v>
      </c>
      <c r="F869" s="2">
        <v>1</v>
      </c>
      <c r="G869" s="2">
        <v>1</v>
      </c>
      <c r="H869" s="2">
        <v>1</v>
      </c>
    </row>
    <row r="870" spans="1:8" x14ac:dyDescent="0.25">
      <c r="A870" s="1" t="str">
        <f>"10171"</f>
        <v>10171</v>
      </c>
      <c r="B870" s="1" t="str">
        <f>"35614"</f>
        <v>35614</v>
      </c>
      <c r="C870" s="1" t="str">
        <f>"NEW YORK"</f>
        <v>NEW YORK</v>
      </c>
      <c r="D870" s="1" t="str">
        <f t="shared" si="64"/>
        <v>NY</v>
      </c>
      <c r="E870" s="2">
        <v>0</v>
      </c>
      <c r="F870" s="2">
        <v>1</v>
      </c>
      <c r="G870" s="2">
        <v>1</v>
      </c>
      <c r="H870" s="2">
        <v>1</v>
      </c>
    </row>
    <row r="871" spans="1:8" x14ac:dyDescent="0.25">
      <c r="A871" s="1" t="str">
        <f>"11050"</f>
        <v>11050</v>
      </c>
      <c r="B871" s="1" t="str">
        <f>"35004"</f>
        <v>35004</v>
      </c>
      <c r="C871" s="1" t="str">
        <f>"PORT WASHINGTON"</f>
        <v>PORT WASHINGTON</v>
      </c>
      <c r="D871" s="1" t="str">
        <f t="shared" si="64"/>
        <v>NY</v>
      </c>
      <c r="E871" s="2">
        <v>1</v>
      </c>
      <c r="F871" s="2">
        <v>1</v>
      </c>
      <c r="G871" s="2">
        <v>1</v>
      </c>
      <c r="H871" s="2">
        <v>1</v>
      </c>
    </row>
    <row r="872" spans="1:8" x14ac:dyDescent="0.25">
      <c r="A872" s="1" t="str">
        <f>"11431"</f>
        <v>11431</v>
      </c>
      <c r="B872" s="1" t="str">
        <f>"35614"</f>
        <v>35614</v>
      </c>
      <c r="C872" s="1" t="str">
        <f>"JAMAICA"</f>
        <v>JAMAICA</v>
      </c>
      <c r="D872" s="1" t="str">
        <f t="shared" si="64"/>
        <v>NY</v>
      </c>
      <c r="E872" s="2">
        <v>1</v>
      </c>
      <c r="F872" s="2">
        <v>1</v>
      </c>
      <c r="G872" s="2">
        <v>1</v>
      </c>
      <c r="H872" s="2">
        <v>1</v>
      </c>
    </row>
    <row r="873" spans="1:8" x14ac:dyDescent="0.25">
      <c r="A873" s="1" t="str">
        <f>"11416"</f>
        <v>11416</v>
      </c>
      <c r="B873" s="1" t="str">
        <f>"35614"</f>
        <v>35614</v>
      </c>
      <c r="C873" s="1" t="str">
        <f>"OZONE PARK"</f>
        <v>OZONE PARK</v>
      </c>
      <c r="D873" s="1" t="str">
        <f t="shared" si="64"/>
        <v>NY</v>
      </c>
      <c r="E873" s="2">
        <v>1</v>
      </c>
      <c r="F873" s="2">
        <v>1</v>
      </c>
      <c r="G873" s="2">
        <v>1</v>
      </c>
      <c r="H873" s="2">
        <v>1</v>
      </c>
    </row>
    <row r="874" spans="1:8" x14ac:dyDescent="0.25">
      <c r="A874" s="1" t="str">
        <f>"11563"</f>
        <v>11563</v>
      </c>
      <c r="B874" s="1" t="str">
        <f>"35004"</f>
        <v>35004</v>
      </c>
      <c r="C874" s="1" t="str">
        <f>"LYNBROOK"</f>
        <v>LYNBROOK</v>
      </c>
      <c r="D874" s="1" t="str">
        <f t="shared" si="64"/>
        <v>NY</v>
      </c>
      <c r="E874" s="2">
        <v>1</v>
      </c>
      <c r="F874" s="2">
        <v>1</v>
      </c>
      <c r="G874" s="2">
        <v>1</v>
      </c>
      <c r="H874" s="2">
        <v>1</v>
      </c>
    </row>
    <row r="875" spans="1:8" x14ac:dyDescent="0.25">
      <c r="A875" s="1" t="str">
        <f>"11702"</f>
        <v>11702</v>
      </c>
      <c r="B875" s="1" t="str">
        <f>"35004"</f>
        <v>35004</v>
      </c>
      <c r="C875" s="1" t="str">
        <f>"BABYLON"</f>
        <v>BABYLON</v>
      </c>
      <c r="D875" s="1" t="str">
        <f t="shared" si="64"/>
        <v>NY</v>
      </c>
      <c r="E875" s="2">
        <v>1</v>
      </c>
      <c r="F875" s="2">
        <v>1</v>
      </c>
      <c r="G875" s="2">
        <v>1</v>
      </c>
      <c r="H875" s="2">
        <v>1</v>
      </c>
    </row>
    <row r="876" spans="1:8" x14ac:dyDescent="0.25">
      <c r="A876" s="1" t="str">
        <f>"11793"</f>
        <v>11793</v>
      </c>
      <c r="B876" s="1" t="str">
        <f>"35004"</f>
        <v>35004</v>
      </c>
      <c r="C876" s="1" t="str">
        <f>"WANTAGH"</f>
        <v>WANTAGH</v>
      </c>
      <c r="D876" s="1" t="str">
        <f t="shared" si="64"/>
        <v>NY</v>
      </c>
      <c r="E876" s="2">
        <v>1</v>
      </c>
      <c r="F876" s="2">
        <v>1</v>
      </c>
      <c r="G876" s="2">
        <v>1</v>
      </c>
      <c r="H876" s="2">
        <v>1</v>
      </c>
    </row>
    <row r="877" spans="1:8" x14ac:dyDescent="0.25">
      <c r="A877" s="1" t="str">
        <f>"10510"</f>
        <v>10510</v>
      </c>
      <c r="B877" s="1" t="str">
        <f>"35614"</f>
        <v>35614</v>
      </c>
      <c r="C877" s="1" t="str">
        <f>"BRIARCLIFF MANOR"</f>
        <v>BRIARCLIFF MANOR</v>
      </c>
      <c r="D877" s="1" t="str">
        <f t="shared" si="64"/>
        <v>NY</v>
      </c>
      <c r="E877" s="2">
        <v>1</v>
      </c>
      <c r="F877" s="2">
        <v>1</v>
      </c>
      <c r="G877" s="2">
        <v>1</v>
      </c>
      <c r="H877" s="2">
        <v>1</v>
      </c>
    </row>
    <row r="878" spans="1:8" x14ac:dyDescent="0.25">
      <c r="A878" s="1" t="str">
        <f>"11971"</f>
        <v>11971</v>
      </c>
      <c r="B878" s="1" t="str">
        <f>"35004"</f>
        <v>35004</v>
      </c>
      <c r="C878" s="1" t="str">
        <f>"SOUTHOLD"</f>
        <v>SOUTHOLD</v>
      </c>
      <c r="D878" s="1" t="str">
        <f t="shared" si="64"/>
        <v>NY</v>
      </c>
      <c r="E878" s="2">
        <v>1</v>
      </c>
      <c r="F878" s="2">
        <v>1</v>
      </c>
      <c r="G878" s="2">
        <v>1</v>
      </c>
      <c r="H878" s="2">
        <v>1</v>
      </c>
    </row>
    <row r="879" spans="1:8" x14ac:dyDescent="0.25">
      <c r="A879" s="1" t="str">
        <f>"10532"</f>
        <v>10532</v>
      </c>
      <c r="B879" s="1" t="str">
        <f>"35614"</f>
        <v>35614</v>
      </c>
      <c r="C879" s="1" t="str">
        <f>"HAWTHORNE"</f>
        <v>HAWTHORNE</v>
      </c>
      <c r="D879" s="1" t="str">
        <f t="shared" si="64"/>
        <v>NY</v>
      </c>
      <c r="E879" s="2">
        <v>1</v>
      </c>
      <c r="F879" s="2">
        <v>1</v>
      </c>
      <c r="G879" s="2">
        <v>1</v>
      </c>
      <c r="H879" s="2">
        <v>1</v>
      </c>
    </row>
    <row r="880" spans="1:8" x14ac:dyDescent="0.25">
      <c r="A880" s="1" t="str">
        <f>"19405"</f>
        <v>19405</v>
      </c>
      <c r="B880" s="1" t="str">
        <f>"33874"</f>
        <v>33874</v>
      </c>
      <c r="C880" s="1" t="str">
        <f>"BRIDGEPORT"</f>
        <v>BRIDGEPORT</v>
      </c>
      <c r="D880" s="1" t="str">
        <f>"PA"</f>
        <v>PA</v>
      </c>
      <c r="E880" s="2">
        <v>1</v>
      </c>
      <c r="F880" s="2">
        <v>1</v>
      </c>
      <c r="G880" s="2">
        <v>1</v>
      </c>
      <c r="H880" s="2">
        <v>1</v>
      </c>
    </row>
    <row r="881" spans="1:8" x14ac:dyDescent="0.25">
      <c r="A881" s="1" t="str">
        <f>"19355"</f>
        <v>19355</v>
      </c>
      <c r="B881" s="1" t="str">
        <f>"33874"</f>
        <v>33874</v>
      </c>
      <c r="C881" s="1" t="str">
        <f>"MALVERN"</f>
        <v>MALVERN</v>
      </c>
      <c r="D881" s="1" t="str">
        <f>"PA"</f>
        <v>PA</v>
      </c>
      <c r="E881" s="2">
        <v>1</v>
      </c>
      <c r="F881" s="2">
        <v>1</v>
      </c>
      <c r="G881" s="2">
        <v>1</v>
      </c>
      <c r="H881" s="2">
        <v>1</v>
      </c>
    </row>
    <row r="882" spans="1:8" x14ac:dyDescent="0.25">
      <c r="A882" s="1" t="str">
        <f>"19707"</f>
        <v>19707</v>
      </c>
      <c r="B882" s="1" t="str">
        <f>"48864"</f>
        <v>48864</v>
      </c>
      <c r="C882" s="1" t="str">
        <f>"HOCKESSIN"</f>
        <v>HOCKESSIN</v>
      </c>
      <c r="D882" s="1" t="str">
        <f>"DE"</f>
        <v>DE</v>
      </c>
      <c r="E882" s="2">
        <v>1</v>
      </c>
      <c r="F882" s="2">
        <v>1</v>
      </c>
      <c r="G882" s="2">
        <v>1</v>
      </c>
      <c r="H882" s="2">
        <v>1</v>
      </c>
    </row>
    <row r="883" spans="1:8" x14ac:dyDescent="0.25">
      <c r="A883" s="1" t="str">
        <f>"19703"</f>
        <v>19703</v>
      </c>
      <c r="B883" s="1" t="str">
        <f>"48864"</f>
        <v>48864</v>
      </c>
      <c r="C883" s="1" t="str">
        <f>"CLAYMONT"</f>
        <v>CLAYMONT</v>
      </c>
      <c r="D883" s="1" t="str">
        <f>"DE"</f>
        <v>DE</v>
      </c>
      <c r="E883" s="2">
        <v>1</v>
      </c>
      <c r="F883" s="2">
        <v>1</v>
      </c>
      <c r="G883" s="2">
        <v>1</v>
      </c>
      <c r="H883" s="2">
        <v>1</v>
      </c>
    </row>
    <row r="884" spans="1:8" x14ac:dyDescent="0.25">
      <c r="A884" s="1" t="str">
        <f>"20005"</f>
        <v>20005</v>
      </c>
      <c r="B884" s="1" t="str">
        <f>"47894"</f>
        <v>47894</v>
      </c>
      <c r="C884" s="1" t="str">
        <f>"WASHINGTON"</f>
        <v>WASHINGTON</v>
      </c>
      <c r="D884" s="1" t="str">
        <f>"DC"</f>
        <v>DC</v>
      </c>
      <c r="E884" s="2">
        <v>1</v>
      </c>
      <c r="F884" s="2">
        <v>1</v>
      </c>
      <c r="G884" s="2">
        <v>1</v>
      </c>
      <c r="H884" s="2">
        <v>1</v>
      </c>
    </row>
    <row r="885" spans="1:8" x14ac:dyDescent="0.25">
      <c r="A885" s="1" t="str">
        <f>"20616"</f>
        <v>20616</v>
      </c>
      <c r="B885" s="1" t="str">
        <f>"47894"</f>
        <v>47894</v>
      </c>
      <c r="C885" s="1" t="str">
        <f>"BRYANS ROAD"</f>
        <v>BRYANS ROAD</v>
      </c>
      <c r="D885" s="1" t="str">
        <f>"MD"</f>
        <v>MD</v>
      </c>
      <c r="E885" s="2">
        <v>1</v>
      </c>
      <c r="F885" s="2">
        <v>1</v>
      </c>
      <c r="G885" s="2">
        <v>1</v>
      </c>
      <c r="H885" s="2">
        <v>1</v>
      </c>
    </row>
    <row r="886" spans="1:8" x14ac:dyDescent="0.25">
      <c r="A886" s="1" t="str">
        <f>"20598"</f>
        <v>20598</v>
      </c>
      <c r="B886" s="1" t="str">
        <f>"47894"</f>
        <v>47894</v>
      </c>
      <c r="C886" s="1" t="str">
        <f>"DHS"</f>
        <v>DHS</v>
      </c>
      <c r="D886" s="1" t="str">
        <f>"VA"</f>
        <v>VA</v>
      </c>
      <c r="E886" s="2">
        <v>0</v>
      </c>
      <c r="F886" s="2">
        <v>1</v>
      </c>
      <c r="G886" s="2">
        <v>1</v>
      </c>
      <c r="H886" s="2">
        <v>1</v>
      </c>
    </row>
    <row r="887" spans="1:8" x14ac:dyDescent="0.25">
      <c r="A887" s="1" t="str">
        <f>"20814"</f>
        <v>20814</v>
      </c>
      <c r="B887" s="1" t="str">
        <f>"23224"</f>
        <v>23224</v>
      </c>
      <c r="C887" s="1" t="str">
        <f>"BETHESDA"</f>
        <v>BETHESDA</v>
      </c>
      <c r="D887" s="1" t="str">
        <f>"MD"</f>
        <v>MD</v>
      </c>
      <c r="E887" s="2">
        <v>1</v>
      </c>
      <c r="F887" s="2">
        <v>1</v>
      </c>
      <c r="G887" s="2">
        <v>1</v>
      </c>
      <c r="H887" s="2">
        <v>1</v>
      </c>
    </row>
    <row r="888" spans="1:8" x14ac:dyDescent="0.25">
      <c r="A888" s="1" t="str">
        <f>"20896"</f>
        <v>20896</v>
      </c>
      <c r="B888" s="1" t="str">
        <f>"23224"</f>
        <v>23224</v>
      </c>
      <c r="C888" s="1" t="str">
        <f>"GARRETT PARK"</f>
        <v>GARRETT PARK</v>
      </c>
      <c r="D888" s="1" t="str">
        <f>"MD"</f>
        <v>MD</v>
      </c>
      <c r="E888" s="2">
        <v>1</v>
      </c>
      <c r="F888" s="2">
        <v>1</v>
      </c>
      <c r="G888" s="2">
        <v>1</v>
      </c>
      <c r="H888" s="2">
        <v>1</v>
      </c>
    </row>
    <row r="889" spans="1:8" x14ac:dyDescent="0.25">
      <c r="A889" s="1" t="str">
        <f>"21702"</f>
        <v>21702</v>
      </c>
      <c r="B889" s="1" t="str">
        <f>"23224"</f>
        <v>23224</v>
      </c>
      <c r="C889" s="1" t="str">
        <f>"FREDERICK"</f>
        <v>FREDERICK</v>
      </c>
      <c r="D889" s="1" t="str">
        <f>"MD"</f>
        <v>MD</v>
      </c>
      <c r="E889" s="2">
        <v>1</v>
      </c>
      <c r="F889" s="2">
        <v>1</v>
      </c>
      <c r="G889" s="2">
        <v>1</v>
      </c>
      <c r="H889" s="2">
        <v>1</v>
      </c>
    </row>
    <row r="890" spans="1:8" x14ac:dyDescent="0.25">
      <c r="A890" s="1" t="str">
        <f>"21754"</f>
        <v>21754</v>
      </c>
      <c r="B890" s="1" t="str">
        <f>"23224"</f>
        <v>23224</v>
      </c>
      <c r="C890" s="1" t="str">
        <f>"IJAMSVILLE"</f>
        <v>IJAMSVILLE</v>
      </c>
      <c r="D890" s="1" t="str">
        <f>"MD"</f>
        <v>MD</v>
      </c>
      <c r="E890" s="2">
        <v>1</v>
      </c>
      <c r="F890" s="2">
        <v>1</v>
      </c>
      <c r="G890" s="2">
        <v>1</v>
      </c>
      <c r="H890" s="2">
        <v>1</v>
      </c>
    </row>
    <row r="891" spans="1:8" x14ac:dyDescent="0.25">
      <c r="A891" s="1" t="str">
        <f>"20105"</f>
        <v>20105</v>
      </c>
      <c r="B891" s="1" t="str">
        <f>"47894"</f>
        <v>47894</v>
      </c>
      <c r="C891" s="1" t="str">
        <f>"ALDIE"</f>
        <v>ALDIE</v>
      </c>
      <c r="D891" s="1" t="str">
        <f>"VA"</f>
        <v>VA</v>
      </c>
      <c r="E891" s="2">
        <v>1</v>
      </c>
      <c r="F891" s="2">
        <v>1</v>
      </c>
      <c r="G891" s="2">
        <v>1</v>
      </c>
      <c r="H891" s="2">
        <v>1</v>
      </c>
    </row>
    <row r="892" spans="1:8" x14ac:dyDescent="0.25">
      <c r="A892" s="1" t="str">
        <f>"20121"</f>
        <v>20121</v>
      </c>
      <c r="B892" s="1" t="str">
        <f>"47894"</f>
        <v>47894</v>
      </c>
      <c r="C892" s="1" t="str">
        <f>"CENTREVILLE"</f>
        <v>CENTREVILLE</v>
      </c>
      <c r="D892" s="1" t="str">
        <f>"VA"</f>
        <v>VA</v>
      </c>
      <c r="E892" s="2">
        <v>1</v>
      </c>
      <c r="F892" s="2">
        <v>1</v>
      </c>
      <c r="G892" s="2">
        <v>1</v>
      </c>
      <c r="H892" s="2">
        <v>1</v>
      </c>
    </row>
    <row r="893" spans="1:8" x14ac:dyDescent="0.25">
      <c r="A893" s="1" t="str">
        <f>"20184"</f>
        <v>20184</v>
      </c>
      <c r="B893" s="1" t="str">
        <f>"47894"</f>
        <v>47894</v>
      </c>
      <c r="C893" s="1" t="str">
        <f>"UPPERVILLE"</f>
        <v>UPPERVILLE</v>
      </c>
      <c r="D893" s="1" t="str">
        <f>"VA"</f>
        <v>VA</v>
      </c>
      <c r="E893" s="2">
        <v>1</v>
      </c>
      <c r="F893" s="2">
        <v>1</v>
      </c>
      <c r="G893" s="2">
        <v>1</v>
      </c>
      <c r="H893" s="2">
        <v>1</v>
      </c>
    </row>
    <row r="894" spans="1:8" x14ac:dyDescent="0.25">
      <c r="A894" s="1" t="str">
        <f>"22191"</f>
        <v>22191</v>
      </c>
      <c r="B894" s="1" t="str">
        <f>"47894"</f>
        <v>47894</v>
      </c>
      <c r="C894" s="1" t="str">
        <f>"WOODBRIDGE"</f>
        <v>WOODBRIDGE</v>
      </c>
      <c r="D894" s="1" t="str">
        <f>"VA"</f>
        <v>VA</v>
      </c>
      <c r="E894" s="2">
        <v>1</v>
      </c>
      <c r="F894" s="2">
        <v>1</v>
      </c>
      <c r="G894" s="2">
        <v>1</v>
      </c>
      <c r="H894" s="2">
        <v>1</v>
      </c>
    </row>
    <row r="895" spans="1:8" x14ac:dyDescent="0.25">
      <c r="A895" s="1" t="str">
        <f>"22207"</f>
        <v>22207</v>
      </c>
      <c r="B895" s="1" t="str">
        <f>"47894"</f>
        <v>47894</v>
      </c>
      <c r="C895" s="1" t="str">
        <f>"ARLINGTON"</f>
        <v>ARLINGTON</v>
      </c>
      <c r="D895" s="1" t="str">
        <f>"VA"</f>
        <v>VA</v>
      </c>
      <c r="E895" s="2">
        <v>1</v>
      </c>
      <c r="F895" s="2">
        <v>1</v>
      </c>
      <c r="G895" s="2">
        <v>1</v>
      </c>
      <c r="H895" s="2">
        <v>1</v>
      </c>
    </row>
    <row r="896" spans="1:8" x14ac:dyDescent="0.25">
      <c r="A896" s="1" t="str">
        <f>"33024"</f>
        <v>33024</v>
      </c>
      <c r="B896" s="1" t="str">
        <f>"22744"</f>
        <v>22744</v>
      </c>
      <c r="C896" s="1" t="str">
        <f>"HOLLYWOOD"</f>
        <v>HOLLYWOOD</v>
      </c>
      <c r="D896" s="1" t="str">
        <f t="shared" ref="D896:D901" si="65">"FL"</f>
        <v>FL</v>
      </c>
      <c r="E896" s="2">
        <v>1</v>
      </c>
      <c r="F896" s="2">
        <v>1</v>
      </c>
      <c r="G896" s="2">
        <v>1</v>
      </c>
      <c r="H896" s="2">
        <v>1</v>
      </c>
    </row>
    <row r="897" spans="1:8" x14ac:dyDescent="0.25">
      <c r="A897" s="1" t="str">
        <f>"33136"</f>
        <v>33136</v>
      </c>
      <c r="B897" s="1" t="str">
        <f>"33124"</f>
        <v>33124</v>
      </c>
      <c r="C897" s="1" t="str">
        <f>"MIAMI"</f>
        <v>MIAMI</v>
      </c>
      <c r="D897" s="1" t="str">
        <f t="shared" si="65"/>
        <v>FL</v>
      </c>
      <c r="E897" s="2">
        <v>1</v>
      </c>
      <c r="F897" s="2">
        <v>1</v>
      </c>
      <c r="G897" s="2">
        <v>1</v>
      </c>
      <c r="H897" s="2">
        <v>1</v>
      </c>
    </row>
    <row r="898" spans="1:8" x14ac:dyDescent="0.25">
      <c r="A898" s="1" t="str">
        <f>"33164"</f>
        <v>33164</v>
      </c>
      <c r="B898" s="1" t="str">
        <f>"33124"</f>
        <v>33124</v>
      </c>
      <c r="C898" s="1" t="str">
        <f>"MIAMI"</f>
        <v>MIAMI</v>
      </c>
      <c r="D898" s="1" t="str">
        <f t="shared" si="65"/>
        <v>FL</v>
      </c>
      <c r="E898" s="2">
        <v>1</v>
      </c>
      <c r="F898" s="2">
        <v>1</v>
      </c>
      <c r="G898" s="2">
        <v>1</v>
      </c>
      <c r="H898" s="2">
        <v>1</v>
      </c>
    </row>
    <row r="899" spans="1:8" x14ac:dyDescent="0.25">
      <c r="A899" s="1" t="str">
        <f>"33454"</f>
        <v>33454</v>
      </c>
      <c r="B899" s="1" t="str">
        <f>"48424"</f>
        <v>48424</v>
      </c>
      <c r="C899" s="1" t="str">
        <f>"GREENACRES"</f>
        <v>GREENACRES</v>
      </c>
      <c r="D899" s="1" t="str">
        <f t="shared" si="65"/>
        <v>FL</v>
      </c>
      <c r="E899" s="2">
        <v>1</v>
      </c>
      <c r="F899" s="2">
        <v>1</v>
      </c>
      <c r="G899" s="2">
        <v>1</v>
      </c>
      <c r="H899" s="2">
        <v>1</v>
      </c>
    </row>
    <row r="900" spans="1:8" x14ac:dyDescent="0.25">
      <c r="A900" s="1" t="str">
        <f>"33196"</f>
        <v>33196</v>
      </c>
      <c r="B900" s="1" t="str">
        <f>"33124"</f>
        <v>33124</v>
      </c>
      <c r="C900" s="1" t="str">
        <f>"MIAMI"</f>
        <v>MIAMI</v>
      </c>
      <c r="D900" s="1" t="str">
        <f t="shared" si="65"/>
        <v>FL</v>
      </c>
      <c r="E900" s="2">
        <v>1</v>
      </c>
      <c r="F900" s="2">
        <v>1</v>
      </c>
      <c r="G900" s="2">
        <v>1</v>
      </c>
      <c r="H900" s="2">
        <v>1</v>
      </c>
    </row>
    <row r="901" spans="1:8" x14ac:dyDescent="0.25">
      <c r="A901" s="1" t="str">
        <f>"33320"</f>
        <v>33320</v>
      </c>
      <c r="B901" s="1" t="str">
        <f>"22744"</f>
        <v>22744</v>
      </c>
      <c r="C901" s="1" t="str">
        <f>"FORT LAUDERDALE"</f>
        <v>FORT LAUDERDALE</v>
      </c>
      <c r="D901" s="1" t="str">
        <f t="shared" si="65"/>
        <v>FL</v>
      </c>
      <c r="E901" s="2">
        <v>1</v>
      </c>
      <c r="F901" s="2">
        <v>1</v>
      </c>
      <c r="G901" s="2">
        <v>1</v>
      </c>
      <c r="H901" s="2">
        <v>1</v>
      </c>
    </row>
    <row r="902" spans="1:8" x14ac:dyDescent="0.25">
      <c r="A902" s="1" t="str">
        <f>"46402"</f>
        <v>46402</v>
      </c>
      <c r="B902" s="1" t="str">
        <f>"23844"</f>
        <v>23844</v>
      </c>
      <c r="C902" s="1" t="str">
        <f>"GARY"</f>
        <v>GARY</v>
      </c>
      <c r="D902" s="1" t="str">
        <f>"IN"</f>
        <v>IN</v>
      </c>
      <c r="E902" s="2">
        <v>1</v>
      </c>
      <c r="F902" s="2">
        <v>1</v>
      </c>
      <c r="G902" s="2">
        <v>1</v>
      </c>
      <c r="H902" s="2">
        <v>1</v>
      </c>
    </row>
    <row r="903" spans="1:8" x14ac:dyDescent="0.25">
      <c r="A903" s="1" t="str">
        <f>"48035"</f>
        <v>48035</v>
      </c>
      <c r="B903" s="1" t="str">
        <f t="shared" ref="B903:B909" si="66">"47664"</f>
        <v>47664</v>
      </c>
      <c r="C903" s="1" t="str">
        <f>"CLINTON TOWNSHIP"</f>
        <v>CLINTON TOWNSHIP</v>
      </c>
      <c r="D903" s="1" t="str">
        <f t="shared" ref="D903:D915" si="67">"MI"</f>
        <v>MI</v>
      </c>
      <c r="E903" s="2">
        <v>1</v>
      </c>
      <c r="F903" s="2">
        <v>1</v>
      </c>
      <c r="G903" s="2">
        <v>1</v>
      </c>
      <c r="H903" s="2">
        <v>1</v>
      </c>
    </row>
    <row r="904" spans="1:8" x14ac:dyDescent="0.25">
      <c r="A904" s="1" t="str">
        <f>"48028"</f>
        <v>48028</v>
      </c>
      <c r="B904" s="1" t="str">
        <f t="shared" si="66"/>
        <v>47664</v>
      </c>
      <c r="C904" s="1" t="str">
        <f>"HARSENS ISLAND"</f>
        <v>HARSENS ISLAND</v>
      </c>
      <c r="D904" s="1" t="str">
        <f t="shared" si="67"/>
        <v>MI</v>
      </c>
      <c r="E904" s="2">
        <v>1</v>
      </c>
      <c r="F904" s="2">
        <v>1</v>
      </c>
      <c r="G904" s="2">
        <v>1</v>
      </c>
      <c r="H904" s="2">
        <v>1</v>
      </c>
    </row>
    <row r="905" spans="1:8" x14ac:dyDescent="0.25">
      <c r="A905" s="1" t="str">
        <f>"48340"</f>
        <v>48340</v>
      </c>
      <c r="B905" s="1" t="str">
        <f t="shared" si="66"/>
        <v>47664</v>
      </c>
      <c r="C905" s="1" t="str">
        <f>"PONTIAC"</f>
        <v>PONTIAC</v>
      </c>
      <c r="D905" s="1" t="str">
        <f t="shared" si="67"/>
        <v>MI</v>
      </c>
      <c r="E905" s="2">
        <v>1</v>
      </c>
      <c r="F905" s="2">
        <v>1</v>
      </c>
      <c r="G905" s="2">
        <v>1</v>
      </c>
      <c r="H905" s="2">
        <v>1</v>
      </c>
    </row>
    <row r="906" spans="1:8" x14ac:dyDescent="0.25">
      <c r="A906" s="1" t="str">
        <f>"48326"</f>
        <v>48326</v>
      </c>
      <c r="B906" s="1" t="str">
        <f t="shared" si="66"/>
        <v>47664</v>
      </c>
      <c r="C906" s="1" t="str">
        <f>"AUBURN HILLS"</f>
        <v>AUBURN HILLS</v>
      </c>
      <c r="D906" s="1" t="str">
        <f t="shared" si="67"/>
        <v>MI</v>
      </c>
      <c r="E906" s="2">
        <v>1</v>
      </c>
      <c r="F906" s="2">
        <v>1</v>
      </c>
      <c r="G906" s="2">
        <v>1</v>
      </c>
      <c r="H906" s="2">
        <v>1</v>
      </c>
    </row>
    <row r="907" spans="1:8" x14ac:dyDescent="0.25">
      <c r="A907" s="1" t="str">
        <f>"48363"</f>
        <v>48363</v>
      </c>
      <c r="B907" s="1" t="str">
        <f t="shared" si="66"/>
        <v>47664</v>
      </c>
      <c r="C907" s="1" t="str">
        <f>"OAKLAND"</f>
        <v>OAKLAND</v>
      </c>
      <c r="D907" s="1" t="str">
        <f t="shared" si="67"/>
        <v>MI</v>
      </c>
      <c r="E907" s="2">
        <v>1</v>
      </c>
      <c r="F907" s="2">
        <v>1</v>
      </c>
      <c r="G907" s="2">
        <v>1</v>
      </c>
      <c r="H907" s="2">
        <v>1</v>
      </c>
    </row>
    <row r="908" spans="1:8" x14ac:dyDescent="0.25">
      <c r="A908" s="1" t="str">
        <f>"48367"</f>
        <v>48367</v>
      </c>
      <c r="B908" s="1" t="str">
        <f t="shared" si="66"/>
        <v>47664</v>
      </c>
      <c r="C908" s="1" t="str">
        <f>"LEONARD"</f>
        <v>LEONARD</v>
      </c>
      <c r="D908" s="1" t="str">
        <f t="shared" si="67"/>
        <v>MI</v>
      </c>
      <c r="E908" s="2">
        <v>1</v>
      </c>
      <c r="F908" s="2">
        <v>1</v>
      </c>
      <c r="G908" s="2">
        <v>1</v>
      </c>
      <c r="H908" s="2">
        <v>1</v>
      </c>
    </row>
    <row r="909" spans="1:8" x14ac:dyDescent="0.25">
      <c r="A909" s="1" t="str">
        <f>"48312"</f>
        <v>48312</v>
      </c>
      <c r="B909" s="1" t="str">
        <f t="shared" si="66"/>
        <v>47664</v>
      </c>
      <c r="C909" s="1" t="str">
        <f>"STERLING HEIGHTS"</f>
        <v>STERLING HEIGHTS</v>
      </c>
      <c r="D909" s="1" t="str">
        <f t="shared" si="67"/>
        <v>MI</v>
      </c>
      <c r="E909" s="2">
        <v>1</v>
      </c>
      <c r="F909" s="2">
        <v>1</v>
      </c>
      <c r="G909" s="2">
        <v>1</v>
      </c>
      <c r="H909" s="2">
        <v>1</v>
      </c>
    </row>
    <row r="910" spans="1:8" x14ac:dyDescent="0.25">
      <c r="A910" s="1" t="str">
        <f>"48243"</f>
        <v>48243</v>
      </c>
      <c r="B910" s="1" t="str">
        <f>"19804"</f>
        <v>19804</v>
      </c>
      <c r="C910" s="1" t="str">
        <f>"DETROIT"</f>
        <v>DETROIT</v>
      </c>
      <c r="D910" s="1" t="str">
        <f t="shared" si="67"/>
        <v>MI</v>
      </c>
      <c r="E910" s="2">
        <v>1</v>
      </c>
      <c r="F910" s="2">
        <v>1</v>
      </c>
      <c r="G910" s="2">
        <v>1</v>
      </c>
      <c r="H910" s="2">
        <v>1</v>
      </c>
    </row>
    <row r="911" spans="1:8" x14ac:dyDescent="0.25">
      <c r="A911" s="1" t="str">
        <f>"48178"</f>
        <v>48178</v>
      </c>
      <c r="B911" s="1" t="str">
        <f>"47664"</f>
        <v>47664</v>
      </c>
      <c r="C911" s="1" t="str">
        <f>"SOUTH LYON"</f>
        <v>SOUTH LYON</v>
      </c>
      <c r="D911" s="1" t="str">
        <f t="shared" si="67"/>
        <v>MI</v>
      </c>
      <c r="E911" s="2">
        <v>1</v>
      </c>
      <c r="F911" s="2">
        <v>1</v>
      </c>
      <c r="G911" s="2">
        <v>1</v>
      </c>
      <c r="H911" s="2">
        <v>1</v>
      </c>
    </row>
    <row r="912" spans="1:8" x14ac:dyDescent="0.25">
      <c r="A912" s="1" t="str">
        <f>"48180"</f>
        <v>48180</v>
      </c>
      <c r="B912" s="1" t="str">
        <f>"19804"</f>
        <v>19804</v>
      </c>
      <c r="C912" s="1" t="str">
        <f>"TAYLOR"</f>
        <v>TAYLOR</v>
      </c>
      <c r="D912" s="1" t="str">
        <f t="shared" si="67"/>
        <v>MI</v>
      </c>
      <c r="E912" s="2">
        <v>1</v>
      </c>
      <c r="F912" s="2">
        <v>1</v>
      </c>
      <c r="G912" s="2">
        <v>1</v>
      </c>
      <c r="H912" s="2">
        <v>1</v>
      </c>
    </row>
    <row r="913" spans="1:8" x14ac:dyDescent="0.25">
      <c r="A913" s="1" t="str">
        <f>"48125"</f>
        <v>48125</v>
      </c>
      <c r="B913" s="1" t="str">
        <f>"19804"</f>
        <v>19804</v>
      </c>
      <c r="C913" s="1" t="str">
        <f>"DEARBORN HEIGHTS"</f>
        <v>DEARBORN HEIGHTS</v>
      </c>
      <c r="D913" s="1" t="str">
        <f t="shared" si="67"/>
        <v>MI</v>
      </c>
      <c r="E913" s="2">
        <v>1</v>
      </c>
      <c r="F913" s="2">
        <v>1</v>
      </c>
      <c r="G913" s="2">
        <v>1</v>
      </c>
      <c r="H913" s="2">
        <v>1</v>
      </c>
    </row>
    <row r="914" spans="1:8" x14ac:dyDescent="0.25">
      <c r="A914" s="1" t="str">
        <f>"48215"</f>
        <v>48215</v>
      </c>
      <c r="B914" s="1" t="str">
        <f>"19804"</f>
        <v>19804</v>
      </c>
      <c r="C914" s="1" t="str">
        <f>"DETROIT"</f>
        <v>DETROIT</v>
      </c>
      <c r="D914" s="1" t="str">
        <f t="shared" si="67"/>
        <v>MI</v>
      </c>
      <c r="E914" s="2">
        <v>1</v>
      </c>
      <c r="F914" s="2">
        <v>1</v>
      </c>
      <c r="G914" s="2">
        <v>1</v>
      </c>
      <c r="H914" s="2">
        <v>1</v>
      </c>
    </row>
    <row r="915" spans="1:8" x14ac:dyDescent="0.25">
      <c r="A915" s="1" t="str">
        <f>"48204"</f>
        <v>48204</v>
      </c>
      <c r="B915" s="1" t="str">
        <f>"19804"</f>
        <v>19804</v>
      </c>
      <c r="C915" s="1" t="str">
        <f>"DETROIT"</f>
        <v>DETROIT</v>
      </c>
      <c r="D915" s="1" t="str">
        <f t="shared" si="67"/>
        <v>MI</v>
      </c>
      <c r="E915" s="2">
        <v>1</v>
      </c>
      <c r="F915" s="2">
        <v>1</v>
      </c>
      <c r="G915" s="2">
        <v>1</v>
      </c>
      <c r="H915" s="2">
        <v>1</v>
      </c>
    </row>
    <row r="916" spans="1:8" x14ac:dyDescent="0.25">
      <c r="A916" s="1" t="str">
        <f>"53158"</f>
        <v>53158</v>
      </c>
      <c r="B916" s="1" t="str">
        <f>"29404"</f>
        <v>29404</v>
      </c>
      <c r="C916" s="1" t="str">
        <f>"PLEASANT PRAIRIE"</f>
        <v>PLEASANT PRAIRIE</v>
      </c>
      <c r="D916" s="1" t="str">
        <f>"WI"</f>
        <v>WI</v>
      </c>
      <c r="E916" s="2">
        <v>1</v>
      </c>
      <c r="F916" s="2">
        <v>1</v>
      </c>
      <c r="G916" s="2">
        <v>1</v>
      </c>
      <c r="H916" s="2">
        <v>1</v>
      </c>
    </row>
    <row r="917" spans="1:8" x14ac:dyDescent="0.25">
      <c r="A917" s="1" t="str">
        <f>"60456"</f>
        <v>60456</v>
      </c>
      <c r="B917" s="1" t="str">
        <f>"16984"</f>
        <v>16984</v>
      </c>
      <c r="C917" s="1" t="str">
        <f>"HOMETOWN"</f>
        <v>HOMETOWN</v>
      </c>
      <c r="D917" s="1" t="str">
        <f t="shared" ref="D917:D928" si="68">"IL"</f>
        <v>IL</v>
      </c>
      <c r="E917" s="2">
        <v>1</v>
      </c>
      <c r="F917" s="2">
        <v>1</v>
      </c>
      <c r="G917" s="2">
        <v>1</v>
      </c>
      <c r="H917" s="2">
        <v>1</v>
      </c>
    </row>
    <row r="918" spans="1:8" x14ac:dyDescent="0.25">
      <c r="A918" s="1" t="str">
        <f>"60429"</f>
        <v>60429</v>
      </c>
      <c r="B918" s="1" t="str">
        <f>"16984"</f>
        <v>16984</v>
      </c>
      <c r="C918" s="1" t="str">
        <f>"HAZEL CREST"</f>
        <v>HAZEL CREST</v>
      </c>
      <c r="D918" s="1" t="str">
        <f t="shared" si="68"/>
        <v>IL</v>
      </c>
      <c r="E918" s="2">
        <v>1</v>
      </c>
      <c r="F918" s="2">
        <v>1</v>
      </c>
      <c r="G918" s="2">
        <v>1</v>
      </c>
      <c r="H918" s="2">
        <v>1</v>
      </c>
    </row>
    <row r="919" spans="1:8" x14ac:dyDescent="0.25">
      <c r="A919" s="1" t="str">
        <f>"60465"</f>
        <v>60465</v>
      </c>
      <c r="B919" s="1" t="str">
        <f>"16984"</f>
        <v>16984</v>
      </c>
      <c r="C919" s="1" t="str">
        <f>"PALOS HILLS"</f>
        <v>PALOS HILLS</v>
      </c>
      <c r="D919" s="1" t="str">
        <f t="shared" si="68"/>
        <v>IL</v>
      </c>
      <c r="E919" s="2">
        <v>1</v>
      </c>
      <c r="F919" s="2">
        <v>1</v>
      </c>
      <c r="G919" s="2">
        <v>1</v>
      </c>
      <c r="H919" s="2">
        <v>1</v>
      </c>
    </row>
    <row r="920" spans="1:8" x14ac:dyDescent="0.25">
      <c r="A920" s="1" t="str">
        <f>"60136"</f>
        <v>60136</v>
      </c>
      <c r="B920" s="1" t="str">
        <f>"20994"</f>
        <v>20994</v>
      </c>
      <c r="C920" s="1" t="str">
        <f>"GILBERTS"</f>
        <v>GILBERTS</v>
      </c>
      <c r="D920" s="1" t="str">
        <f t="shared" si="68"/>
        <v>IL</v>
      </c>
      <c r="E920" s="2">
        <v>1</v>
      </c>
      <c r="F920" s="2">
        <v>1</v>
      </c>
      <c r="G920" s="2">
        <v>1</v>
      </c>
      <c r="H920" s="2">
        <v>1</v>
      </c>
    </row>
    <row r="921" spans="1:8" x14ac:dyDescent="0.25">
      <c r="A921" s="1" t="str">
        <f>"60129"</f>
        <v>60129</v>
      </c>
      <c r="B921" s="1" t="str">
        <f>"20994"</f>
        <v>20994</v>
      </c>
      <c r="C921" s="1" t="str">
        <f>"ESMOND"</f>
        <v>ESMOND</v>
      </c>
      <c r="D921" s="1" t="str">
        <f t="shared" si="68"/>
        <v>IL</v>
      </c>
      <c r="E921" s="2">
        <v>1</v>
      </c>
      <c r="F921" s="2">
        <v>1</v>
      </c>
      <c r="G921" s="2">
        <v>1</v>
      </c>
      <c r="H921" s="2">
        <v>1</v>
      </c>
    </row>
    <row r="922" spans="1:8" x14ac:dyDescent="0.25">
      <c r="A922" s="1" t="str">
        <f>"60107"</f>
        <v>60107</v>
      </c>
      <c r="B922" s="1" t="str">
        <f>"16984"</f>
        <v>16984</v>
      </c>
      <c r="C922" s="1" t="str">
        <f>"STREAMWOOD"</f>
        <v>STREAMWOOD</v>
      </c>
      <c r="D922" s="1" t="str">
        <f t="shared" si="68"/>
        <v>IL</v>
      </c>
      <c r="E922" s="2">
        <v>1</v>
      </c>
      <c r="F922" s="2">
        <v>1</v>
      </c>
      <c r="G922" s="2">
        <v>1</v>
      </c>
      <c r="H922" s="2">
        <v>1</v>
      </c>
    </row>
    <row r="923" spans="1:8" x14ac:dyDescent="0.25">
      <c r="A923" s="1" t="str">
        <f>"60175"</f>
        <v>60175</v>
      </c>
      <c r="B923" s="1" t="str">
        <f>"20994"</f>
        <v>20994</v>
      </c>
      <c r="C923" s="1" t="str">
        <f>"SAINT CHARLES"</f>
        <v>SAINT CHARLES</v>
      </c>
      <c r="D923" s="1" t="str">
        <f t="shared" si="68"/>
        <v>IL</v>
      </c>
      <c r="E923" s="2">
        <v>1</v>
      </c>
      <c r="F923" s="2">
        <v>1</v>
      </c>
      <c r="G923" s="2">
        <v>1</v>
      </c>
      <c r="H923" s="2">
        <v>1</v>
      </c>
    </row>
    <row r="924" spans="1:8" x14ac:dyDescent="0.25">
      <c r="A924" s="1" t="str">
        <f>"60180"</f>
        <v>60180</v>
      </c>
      <c r="B924" s="1" t="str">
        <f>"16984"</f>
        <v>16984</v>
      </c>
      <c r="C924" s="1" t="str">
        <f>"UNION"</f>
        <v>UNION</v>
      </c>
      <c r="D924" s="1" t="str">
        <f t="shared" si="68"/>
        <v>IL</v>
      </c>
      <c r="E924" s="2">
        <v>1</v>
      </c>
      <c r="F924" s="2">
        <v>1</v>
      </c>
      <c r="G924" s="2">
        <v>1</v>
      </c>
      <c r="H924" s="2">
        <v>1</v>
      </c>
    </row>
    <row r="925" spans="1:8" x14ac:dyDescent="0.25">
      <c r="A925" s="1" t="str">
        <f>"60622"</f>
        <v>60622</v>
      </c>
      <c r="B925" s="1" t="str">
        <f>"16984"</f>
        <v>16984</v>
      </c>
      <c r="C925" s="1" t="str">
        <f>"CHICAGO"</f>
        <v>CHICAGO</v>
      </c>
      <c r="D925" s="1" t="str">
        <f t="shared" si="68"/>
        <v>IL</v>
      </c>
      <c r="E925" s="2">
        <v>1</v>
      </c>
      <c r="F925" s="2">
        <v>1</v>
      </c>
      <c r="G925" s="2">
        <v>1</v>
      </c>
      <c r="H925" s="2">
        <v>1</v>
      </c>
    </row>
    <row r="926" spans="1:8" x14ac:dyDescent="0.25">
      <c r="A926" s="1" t="str">
        <f>"60608"</f>
        <v>60608</v>
      </c>
      <c r="B926" s="1" t="str">
        <f>"16984"</f>
        <v>16984</v>
      </c>
      <c r="C926" s="1" t="str">
        <f>"CHICAGO"</f>
        <v>CHICAGO</v>
      </c>
      <c r="D926" s="1" t="str">
        <f t="shared" si="68"/>
        <v>IL</v>
      </c>
      <c r="E926" s="2">
        <v>1</v>
      </c>
      <c r="F926" s="2">
        <v>1</v>
      </c>
      <c r="G926" s="2">
        <v>1</v>
      </c>
      <c r="H926" s="2">
        <v>1</v>
      </c>
    </row>
    <row r="927" spans="1:8" x14ac:dyDescent="0.25">
      <c r="A927" s="1" t="str">
        <f>"60610"</f>
        <v>60610</v>
      </c>
      <c r="B927" s="1" t="str">
        <f>"16984"</f>
        <v>16984</v>
      </c>
      <c r="C927" s="1" t="str">
        <f>"CHICAGO"</f>
        <v>CHICAGO</v>
      </c>
      <c r="D927" s="1" t="str">
        <f t="shared" si="68"/>
        <v>IL</v>
      </c>
      <c r="E927" s="2">
        <v>1</v>
      </c>
      <c r="F927" s="2">
        <v>1</v>
      </c>
      <c r="G927" s="2">
        <v>1</v>
      </c>
      <c r="H927" s="2">
        <v>1</v>
      </c>
    </row>
    <row r="928" spans="1:8" x14ac:dyDescent="0.25">
      <c r="A928" s="1" t="str">
        <f>"60302"</f>
        <v>60302</v>
      </c>
      <c r="B928" s="1" t="str">
        <f>"16984"</f>
        <v>16984</v>
      </c>
      <c r="C928" s="1" t="str">
        <f>"OAK PARK"</f>
        <v>OAK PARK</v>
      </c>
      <c r="D928" s="1" t="str">
        <f t="shared" si="68"/>
        <v>IL</v>
      </c>
      <c r="E928" s="2">
        <v>1</v>
      </c>
      <c r="F928" s="2">
        <v>1</v>
      </c>
      <c r="G928" s="2">
        <v>1</v>
      </c>
      <c r="H928" s="2">
        <v>1</v>
      </c>
    </row>
    <row r="929" spans="1:8" x14ac:dyDescent="0.25">
      <c r="A929" s="1" t="str">
        <f>"75382"</f>
        <v>75382</v>
      </c>
      <c r="B929" s="1" t="str">
        <f>"19124"</f>
        <v>19124</v>
      </c>
      <c r="C929" s="1" t="str">
        <f>"DALLAS"</f>
        <v>DALLAS</v>
      </c>
      <c r="D929" s="1" t="str">
        <f>"TX"</f>
        <v>TX</v>
      </c>
      <c r="E929" s="2">
        <v>1</v>
      </c>
      <c r="F929" s="2">
        <v>1</v>
      </c>
      <c r="G929" s="2">
        <v>1</v>
      </c>
      <c r="H929" s="2">
        <v>1</v>
      </c>
    </row>
    <row r="930" spans="1:8" x14ac:dyDescent="0.25">
      <c r="A930" s="1" t="str">
        <f>"76015"</f>
        <v>76015</v>
      </c>
      <c r="B930" s="1" t="str">
        <f>"23104"</f>
        <v>23104</v>
      </c>
      <c r="C930" s="1" t="str">
        <f>"ARLINGTON"</f>
        <v>ARLINGTON</v>
      </c>
      <c r="D930" s="1" t="str">
        <f>"TX"</f>
        <v>TX</v>
      </c>
      <c r="E930" s="2">
        <v>1</v>
      </c>
      <c r="F930" s="2">
        <v>1</v>
      </c>
      <c r="G930" s="2">
        <v>1</v>
      </c>
      <c r="H930" s="2">
        <v>1</v>
      </c>
    </row>
    <row r="931" spans="1:8" x14ac:dyDescent="0.25">
      <c r="A931" s="1" t="str">
        <f>"90036"</f>
        <v>90036</v>
      </c>
      <c r="B931" s="1" t="str">
        <f>"31084"</f>
        <v>31084</v>
      </c>
      <c r="C931" s="1" t="str">
        <f>"LOS ANGELES"</f>
        <v>LOS ANGELES</v>
      </c>
      <c r="D931" s="1" t="str">
        <f t="shared" ref="D931:D945" si="69">"CA"</f>
        <v>CA</v>
      </c>
      <c r="E931" s="2">
        <v>1</v>
      </c>
      <c r="F931" s="2">
        <v>1</v>
      </c>
      <c r="G931" s="2">
        <v>1</v>
      </c>
      <c r="H931" s="2">
        <v>1</v>
      </c>
    </row>
    <row r="932" spans="1:8" x14ac:dyDescent="0.25">
      <c r="A932" s="1" t="str">
        <f>"90630"</f>
        <v>90630</v>
      </c>
      <c r="B932" s="1" t="str">
        <f>"11244"</f>
        <v>11244</v>
      </c>
      <c r="C932" s="1" t="str">
        <f>"CYPRESS"</f>
        <v>CYPRESS</v>
      </c>
      <c r="D932" s="1" t="str">
        <f t="shared" si="69"/>
        <v>CA</v>
      </c>
      <c r="E932" s="2">
        <v>0.99620213102647903</v>
      </c>
      <c r="F932" s="2">
        <v>0.99829351535836097</v>
      </c>
      <c r="G932" s="2">
        <v>0.99638336347197098</v>
      </c>
      <c r="H932" s="2">
        <v>0.99637970755559702</v>
      </c>
    </row>
    <row r="933" spans="1:8" x14ac:dyDescent="0.25">
      <c r="A933" s="1" t="str">
        <f>"90630"</f>
        <v>90630</v>
      </c>
      <c r="B933" s="1" t="str">
        <f>"31084"</f>
        <v>31084</v>
      </c>
      <c r="C933" s="1" t="str">
        <f>"CYPRESS"</f>
        <v>CYPRESS</v>
      </c>
      <c r="D933" s="1" t="str">
        <f t="shared" si="69"/>
        <v>CA</v>
      </c>
      <c r="E933" s="2">
        <v>3.7978689735204099E-3</v>
      </c>
      <c r="F933" s="2">
        <v>1.7064846416382201E-3</v>
      </c>
      <c r="G933" s="2">
        <v>3.6166365280289299E-3</v>
      </c>
      <c r="H933" s="2">
        <v>3.6202924444026499E-3</v>
      </c>
    </row>
    <row r="934" spans="1:8" x14ac:dyDescent="0.25">
      <c r="A934" s="1" t="str">
        <f>"90309"</f>
        <v>90309</v>
      </c>
      <c r="B934" s="1" t="str">
        <f>"31084"</f>
        <v>31084</v>
      </c>
      <c r="C934" s="1" t="str">
        <f>"INGLEWOOD"</f>
        <v>INGLEWOOD</v>
      </c>
      <c r="D934" s="1" t="str">
        <f t="shared" si="69"/>
        <v>CA</v>
      </c>
      <c r="E934" s="2">
        <v>1</v>
      </c>
      <c r="F934" s="2">
        <v>1</v>
      </c>
      <c r="G934" s="2">
        <v>1</v>
      </c>
      <c r="H934" s="2">
        <v>1</v>
      </c>
    </row>
    <row r="935" spans="1:8" x14ac:dyDescent="0.25">
      <c r="A935" s="1" t="str">
        <f>"91030"</f>
        <v>91030</v>
      </c>
      <c r="B935" s="1" t="str">
        <f>"31084"</f>
        <v>31084</v>
      </c>
      <c r="C935" s="1" t="str">
        <f>"SOUTH PASADENA"</f>
        <v>SOUTH PASADENA</v>
      </c>
      <c r="D935" s="1" t="str">
        <f t="shared" si="69"/>
        <v>CA</v>
      </c>
      <c r="E935" s="2">
        <v>1</v>
      </c>
      <c r="F935" s="2">
        <v>1</v>
      </c>
      <c r="G935" s="2">
        <v>1</v>
      </c>
      <c r="H935" s="2">
        <v>1</v>
      </c>
    </row>
    <row r="936" spans="1:8" x14ac:dyDescent="0.25">
      <c r="A936" s="1" t="str">
        <f>"92701"</f>
        <v>92701</v>
      </c>
      <c r="B936" s="1" t="str">
        <f>"11244"</f>
        <v>11244</v>
      </c>
      <c r="C936" s="1" t="str">
        <f>"SANTA ANA"</f>
        <v>SANTA ANA</v>
      </c>
      <c r="D936" s="1" t="str">
        <f t="shared" si="69"/>
        <v>CA</v>
      </c>
      <c r="E936" s="2">
        <v>1</v>
      </c>
      <c r="F936" s="2">
        <v>1</v>
      </c>
      <c r="G936" s="2">
        <v>1</v>
      </c>
      <c r="H936" s="2">
        <v>1</v>
      </c>
    </row>
    <row r="937" spans="1:8" x14ac:dyDescent="0.25">
      <c r="A937" s="1" t="str">
        <f>"92803"</f>
        <v>92803</v>
      </c>
      <c r="B937" s="1" t="str">
        <f>"11244"</f>
        <v>11244</v>
      </c>
      <c r="C937" s="1" t="str">
        <f>"ANAHEIM"</f>
        <v>ANAHEIM</v>
      </c>
      <c r="D937" s="1" t="str">
        <f t="shared" si="69"/>
        <v>CA</v>
      </c>
      <c r="E937" s="2">
        <v>1</v>
      </c>
      <c r="F937" s="2">
        <v>1</v>
      </c>
      <c r="G937" s="2">
        <v>1</v>
      </c>
      <c r="H937" s="2">
        <v>1</v>
      </c>
    </row>
    <row r="938" spans="1:8" x14ac:dyDescent="0.25">
      <c r="A938" s="1" t="str">
        <f>"92808"</f>
        <v>92808</v>
      </c>
      <c r="B938" s="1" t="str">
        <f>"11244"</f>
        <v>11244</v>
      </c>
      <c r="C938" s="1" t="str">
        <f>"ANAHEIM"</f>
        <v>ANAHEIM</v>
      </c>
      <c r="D938" s="1" t="str">
        <f t="shared" si="69"/>
        <v>CA</v>
      </c>
      <c r="E938" s="2">
        <v>1</v>
      </c>
      <c r="F938" s="2">
        <v>1</v>
      </c>
      <c r="G938" s="2">
        <v>1</v>
      </c>
      <c r="H938" s="2">
        <v>1</v>
      </c>
    </row>
    <row r="939" spans="1:8" x14ac:dyDescent="0.25">
      <c r="A939" s="1" t="str">
        <f>"92647"</f>
        <v>92647</v>
      </c>
      <c r="B939" s="1" t="str">
        <f>"11244"</f>
        <v>11244</v>
      </c>
      <c r="C939" s="1" t="str">
        <f>"HUNTINGTON BEACH"</f>
        <v>HUNTINGTON BEACH</v>
      </c>
      <c r="D939" s="1" t="str">
        <f t="shared" si="69"/>
        <v>CA</v>
      </c>
      <c r="E939" s="2">
        <v>1</v>
      </c>
      <c r="F939" s="2">
        <v>1</v>
      </c>
      <c r="G939" s="2">
        <v>1</v>
      </c>
      <c r="H939" s="2">
        <v>1</v>
      </c>
    </row>
    <row r="940" spans="1:8" x14ac:dyDescent="0.25">
      <c r="A940" s="1" t="str">
        <f>"91740"</f>
        <v>91740</v>
      </c>
      <c r="B940" s="1" t="str">
        <f>"31084"</f>
        <v>31084</v>
      </c>
      <c r="C940" s="1" t="str">
        <f>"GLENDORA"</f>
        <v>GLENDORA</v>
      </c>
      <c r="D940" s="1" t="str">
        <f t="shared" si="69"/>
        <v>CA</v>
      </c>
      <c r="E940" s="2">
        <v>1</v>
      </c>
      <c r="F940" s="2">
        <v>1</v>
      </c>
      <c r="G940" s="2">
        <v>1</v>
      </c>
      <c r="H940" s="2">
        <v>1</v>
      </c>
    </row>
    <row r="941" spans="1:8" x14ac:dyDescent="0.25">
      <c r="A941" s="1" t="str">
        <f>"92868"</f>
        <v>92868</v>
      </c>
      <c r="B941" s="1" t="str">
        <f>"11244"</f>
        <v>11244</v>
      </c>
      <c r="C941" s="1" t="str">
        <f>"ORANGE"</f>
        <v>ORANGE</v>
      </c>
      <c r="D941" s="1" t="str">
        <f t="shared" si="69"/>
        <v>CA</v>
      </c>
      <c r="E941" s="2">
        <v>1</v>
      </c>
      <c r="F941" s="2">
        <v>1</v>
      </c>
      <c r="G941" s="2">
        <v>1</v>
      </c>
      <c r="H941" s="2">
        <v>1</v>
      </c>
    </row>
    <row r="942" spans="1:8" x14ac:dyDescent="0.25">
      <c r="A942" s="1" t="str">
        <f>"92625"</f>
        <v>92625</v>
      </c>
      <c r="B942" s="1" t="str">
        <f>"11244"</f>
        <v>11244</v>
      </c>
      <c r="C942" s="1" t="str">
        <f>"CORONA DEL MAR"</f>
        <v>CORONA DEL MAR</v>
      </c>
      <c r="D942" s="1" t="str">
        <f t="shared" si="69"/>
        <v>CA</v>
      </c>
      <c r="E942" s="2">
        <v>1</v>
      </c>
      <c r="F942" s="2">
        <v>1</v>
      </c>
      <c r="G942" s="2">
        <v>1</v>
      </c>
      <c r="H942" s="2">
        <v>1</v>
      </c>
    </row>
    <row r="943" spans="1:8" x14ac:dyDescent="0.25">
      <c r="A943" s="1" t="str">
        <f>"94977"</f>
        <v>94977</v>
      </c>
      <c r="B943" s="1" t="str">
        <f>"42034"</f>
        <v>42034</v>
      </c>
      <c r="C943" s="1" t="str">
        <f>"LARKSPUR"</f>
        <v>LARKSPUR</v>
      </c>
      <c r="D943" s="1" t="str">
        <f t="shared" si="69"/>
        <v>CA</v>
      </c>
      <c r="E943" s="2">
        <v>1</v>
      </c>
      <c r="F943" s="2">
        <v>1</v>
      </c>
      <c r="G943" s="2">
        <v>1</v>
      </c>
      <c r="H943" s="2">
        <v>1</v>
      </c>
    </row>
    <row r="944" spans="1:8" x14ac:dyDescent="0.25">
      <c r="A944" s="1" t="str">
        <f>"94568"</f>
        <v>94568</v>
      </c>
      <c r="B944" s="1" t="str">
        <f>"36084"</f>
        <v>36084</v>
      </c>
      <c r="C944" s="1" t="str">
        <f>"DUBLIN"</f>
        <v>DUBLIN</v>
      </c>
      <c r="D944" s="1" t="str">
        <f t="shared" si="69"/>
        <v>CA</v>
      </c>
      <c r="E944" s="2">
        <v>1</v>
      </c>
      <c r="F944" s="2">
        <v>1</v>
      </c>
      <c r="G944" s="2">
        <v>1</v>
      </c>
      <c r="H944" s="2">
        <v>1</v>
      </c>
    </row>
    <row r="945" spans="1:8" x14ac:dyDescent="0.25">
      <c r="A945" s="1" t="str">
        <f>"94611"</f>
        <v>94611</v>
      </c>
      <c r="B945" s="1" t="str">
        <f>"36084"</f>
        <v>36084</v>
      </c>
      <c r="C945" s="1" t="str">
        <f>"OAKLAND"</f>
        <v>OAKLAND</v>
      </c>
      <c r="D945" s="1" t="str">
        <f t="shared" si="69"/>
        <v>CA</v>
      </c>
      <c r="E945" s="2">
        <v>1</v>
      </c>
      <c r="F945" s="2">
        <v>1</v>
      </c>
      <c r="G945" s="2">
        <v>1</v>
      </c>
      <c r="H945" s="2">
        <v>1</v>
      </c>
    </row>
    <row r="946" spans="1:8" x14ac:dyDescent="0.25">
      <c r="A946" s="1" t="str">
        <f>"98372"</f>
        <v>98372</v>
      </c>
      <c r="B946" s="1" t="str">
        <f>"42644"</f>
        <v>42644</v>
      </c>
      <c r="C946" s="1" t="str">
        <f>"PUYALLUP"</f>
        <v>PUYALLUP</v>
      </c>
      <c r="D946" s="1" t="str">
        <f t="shared" ref="D946:D953" si="70">"WA"</f>
        <v>WA</v>
      </c>
      <c r="E946" s="2">
        <v>2.60258523466643E-4</v>
      </c>
      <c r="F946" s="2">
        <v>0</v>
      </c>
      <c r="G946" s="2">
        <v>0</v>
      </c>
      <c r="H946" s="2">
        <v>2.2383048571215301E-4</v>
      </c>
    </row>
    <row r="947" spans="1:8" x14ac:dyDescent="0.25">
      <c r="A947" s="1" t="str">
        <f>"98372"</f>
        <v>98372</v>
      </c>
      <c r="B947" s="1" t="str">
        <f>"45104"</f>
        <v>45104</v>
      </c>
      <c r="C947" s="1" t="str">
        <f>"PUYALLUP"</f>
        <v>PUYALLUP</v>
      </c>
      <c r="D947" s="1" t="str">
        <f t="shared" si="70"/>
        <v>WA</v>
      </c>
      <c r="E947" s="2">
        <v>0.99973974147653299</v>
      </c>
      <c r="F947" s="2">
        <v>1</v>
      </c>
      <c r="G947" s="2">
        <v>1</v>
      </c>
      <c r="H947" s="2">
        <v>0.99977616951428705</v>
      </c>
    </row>
    <row r="948" spans="1:8" x14ac:dyDescent="0.25">
      <c r="A948" s="1" t="str">
        <f>"98338"</f>
        <v>98338</v>
      </c>
      <c r="B948" s="1" t="str">
        <f>"45104"</f>
        <v>45104</v>
      </c>
      <c r="C948" s="1" t="str">
        <f>"GRAHAM"</f>
        <v>GRAHAM</v>
      </c>
      <c r="D948" s="1" t="str">
        <f t="shared" si="70"/>
        <v>WA</v>
      </c>
      <c r="E948" s="2">
        <v>1</v>
      </c>
      <c r="F948" s="2">
        <v>1</v>
      </c>
      <c r="G948" s="2">
        <v>1</v>
      </c>
      <c r="H948" s="2">
        <v>1</v>
      </c>
    </row>
    <row r="949" spans="1:8" x14ac:dyDescent="0.25">
      <c r="A949" s="1" t="str">
        <f>"98188"</f>
        <v>98188</v>
      </c>
      <c r="B949" s="1" t="str">
        <f>"42644"</f>
        <v>42644</v>
      </c>
      <c r="C949" s="1" t="str">
        <f>"SEATTLE"</f>
        <v>SEATTLE</v>
      </c>
      <c r="D949" s="1" t="str">
        <f t="shared" si="70"/>
        <v>WA</v>
      </c>
      <c r="E949" s="2">
        <v>1</v>
      </c>
      <c r="F949" s="2">
        <v>1</v>
      </c>
      <c r="G949" s="2">
        <v>1</v>
      </c>
      <c r="H949" s="2">
        <v>1</v>
      </c>
    </row>
    <row r="950" spans="1:8" x14ac:dyDescent="0.25">
      <c r="A950" s="1" t="str">
        <f>"98148"</f>
        <v>98148</v>
      </c>
      <c r="B950" s="1" t="str">
        <f>"42644"</f>
        <v>42644</v>
      </c>
      <c r="C950" s="1" t="str">
        <f>"SEATTLE"</f>
        <v>SEATTLE</v>
      </c>
      <c r="D950" s="1" t="str">
        <f t="shared" si="70"/>
        <v>WA</v>
      </c>
      <c r="E950" s="2">
        <v>1</v>
      </c>
      <c r="F950" s="2">
        <v>1</v>
      </c>
      <c r="G950" s="2">
        <v>1</v>
      </c>
      <c r="H950" s="2">
        <v>1</v>
      </c>
    </row>
    <row r="951" spans="1:8" x14ac:dyDescent="0.25">
      <c r="A951" s="1" t="str">
        <f>"98498"</f>
        <v>98498</v>
      </c>
      <c r="B951" s="1" t="str">
        <f>"45104"</f>
        <v>45104</v>
      </c>
      <c r="C951" s="1" t="str">
        <f>"LAKEWOOD"</f>
        <v>LAKEWOOD</v>
      </c>
      <c r="D951" s="1" t="str">
        <f t="shared" si="70"/>
        <v>WA</v>
      </c>
      <c r="E951" s="2">
        <v>1</v>
      </c>
      <c r="F951" s="2">
        <v>1</v>
      </c>
      <c r="G951" s="2">
        <v>1</v>
      </c>
      <c r="H951" s="2">
        <v>1</v>
      </c>
    </row>
    <row r="952" spans="1:8" x14ac:dyDescent="0.25">
      <c r="A952" s="1" t="str">
        <f>"98433"</f>
        <v>98433</v>
      </c>
      <c r="B952" s="1" t="str">
        <f>"45104"</f>
        <v>45104</v>
      </c>
      <c r="C952" s="1" t="str">
        <f>"TACOMA"</f>
        <v>TACOMA</v>
      </c>
      <c r="D952" s="1" t="str">
        <f t="shared" si="70"/>
        <v>WA</v>
      </c>
      <c r="E952" s="2">
        <v>1</v>
      </c>
      <c r="F952" s="2">
        <v>1</v>
      </c>
      <c r="G952" s="2">
        <v>1</v>
      </c>
      <c r="H952" s="2">
        <v>1</v>
      </c>
    </row>
    <row r="953" spans="1:8" x14ac:dyDescent="0.25">
      <c r="A953" s="1" t="str">
        <f>"98270"</f>
        <v>98270</v>
      </c>
      <c r="B953" s="1" t="str">
        <f>"42644"</f>
        <v>42644</v>
      </c>
      <c r="C953" s="1" t="str">
        <f>"MARYSVILLE"</f>
        <v>MARYSVILLE</v>
      </c>
      <c r="D953" s="1" t="str">
        <f t="shared" si="70"/>
        <v>WA</v>
      </c>
      <c r="E953" s="2">
        <v>1</v>
      </c>
      <c r="F953" s="2">
        <v>1</v>
      </c>
      <c r="G953" s="2">
        <v>1</v>
      </c>
      <c r="H953" s="2">
        <v>1</v>
      </c>
    </row>
    <row r="954" spans="1:8" x14ac:dyDescent="0.25">
      <c r="A954" s="1" t="str">
        <f>"02269"</f>
        <v>02269</v>
      </c>
      <c r="B954" s="1" t="str">
        <f>"14454"</f>
        <v>14454</v>
      </c>
      <c r="C954" s="1" t="str">
        <f>"QUINCY"</f>
        <v>QUINCY</v>
      </c>
      <c r="D954" s="1" t="str">
        <f>"MA"</f>
        <v>MA</v>
      </c>
      <c r="E954" s="2">
        <v>1</v>
      </c>
      <c r="F954" s="2">
        <v>1</v>
      </c>
      <c r="G954" s="2">
        <v>1</v>
      </c>
      <c r="H954" s="2">
        <v>1</v>
      </c>
    </row>
    <row r="955" spans="1:8" x14ac:dyDescent="0.25">
      <c r="A955" s="1" t="str">
        <f>"07620"</f>
        <v>07620</v>
      </c>
      <c r="B955" s="1" t="str">
        <f>"35614"</f>
        <v>35614</v>
      </c>
      <c r="C955" s="1" t="str">
        <f>"ALPINE"</f>
        <v>ALPINE</v>
      </c>
      <c r="D955" s="1" t="str">
        <f>"NJ"</f>
        <v>NJ</v>
      </c>
      <c r="E955" s="2">
        <v>1</v>
      </c>
      <c r="F955" s="2">
        <v>1</v>
      </c>
      <c r="G955" s="2">
        <v>0</v>
      </c>
      <c r="H955" s="2">
        <v>1</v>
      </c>
    </row>
    <row r="956" spans="1:8" x14ac:dyDescent="0.25">
      <c r="A956" s="1" t="str">
        <f>"07704"</f>
        <v>07704</v>
      </c>
      <c r="B956" s="1" t="str">
        <f>"35154"</f>
        <v>35154</v>
      </c>
      <c r="C956" s="1" t="str">
        <f>"FAIR HAVEN"</f>
        <v>FAIR HAVEN</v>
      </c>
      <c r="D956" s="1" t="str">
        <f>"NJ"</f>
        <v>NJ</v>
      </c>
      <c r="E956" s="2">
        <v>1</v>
      </c>
      <c r="F956" s="2">
        <v>1</v>
      </c>
      <c r="G956" s="2">
        <v>1</v>
      </c>
      <c r="H956" s="2">
        <v>1</v>
      </c>
    </row>
    <row r="957" spans="1:8" x14ac:dyDescent="0.25">
      <c r="A957" s="1" t="str">
        <f>"10156"</f>
        <v>10156</v>
      </c>
      <c r="B957" s="1" t="str">
        <f>"35614"</f>
        <v>35614</v>
      </c>
      <c r="C957" s="1" t="str">
        <f>"NEW YORK"</f>
        <v>NEW YORK</v>
      </c>
      <c r="D957" s="1" t="str">
        <f>"NY"</f>
        <v>NY</v>
      </c>
      <c r="E957" s="2">
        <v>1</v>
      </c>
      <c r="F957" s="2">
        <v>1</v>
      </c>
      <c r="G957" s="2">
        <v>1</v>
      </c>
      <c r="H957" s="2">
        <v>1</v>
      </c>
    </row>
    <row r="958" spans="1:8" x14ac:dyDescent="0.25">
      <c r="A958" s="1" t="str">
        <f>"10501"</f>
        <v>10501</v>
      </c>
      <c r="B958" s="1" t="str">
        <f>"35614"</f>
        <v>35614</v>
      </c>
      <c r="C958" s="1" t="str">
        <f>"AMAWALK"</f>
        <v>AMAWALK</v>
      </c>
      <c r="D958" s="1" t="str">
        <f>"NY"</f>
        <v>NY</v>
      </c>
      <c r="E958" s="2">
        <v>1</v>
      </c>
      <c r="F958" s="2">
        <v>1</v>
      </c>
      <c r="G958" s="2">
        <v>1</v>
      </c>
      <c r="H958" s="2">
        <v>1</v>
      </c>
    </row>
    <row r="959" spans="1:8" x14ac:dyDescent="0.25">
      <c r="A959" s="1" t="str">
        <f>"33473"</f>
        <v>33473</v>
      </c>
      <c r="B959" s="1" t="str">
        <f>"48424"</f>
        <v>48424</v>
      </c>
      <c r="C959" s="1" t="str">
        <f>"BOYNTON BEACH"</f>
        <v>BOYNTON BEACH</v>
      </c>
      <c r="D959" s="1" t="str">
        <f>"FL"</f>
        <v>FL</v>
      </c>
      <c r="E959" s="2">
        <v>1</v>
      </c>
      <c r="F959" s="2">
        <v>1</v>
      </c>
      <c r="G959" s="2">
        <v>1</v>
      </c>
      <c r="H959" s="2">
        <v>1</v>
      </c>
    </row>
    <row r="960" spans="1:8" x14ac:dyDescent="0.25">
      <c r="A960" s="1" t="str">
        <f>"60162"</f>
        <v>60162</v>
      </c>
      <c r="B960" s="1" t="str">
        <f>"16984"</f>
        <v>16984</v>
      </c>
      <c r="C960" s="1" t="str">
        <f>"HILLSIDE"</f>
        <v>HILLSIDE</v>
      </c>
      <c r="D960" s="1" t="str">
        <f>"IL"</f>
        <v>IL</v>
      </c>
      <c r="E960" s="2">
        <v>1</v>
      </c>
      <c r="F960" s="2">
        <v>1</v>
      </c>
      <c r="G960" s="2">
        <v>1</v>
      </c>
      <c r="H960" s="2">
        <v>1</v>
      </c>
    </row>
    <row r="961" spans="1:8" x14ac:dyDescent="0.25">
      <c r="A961" s="1" t="str">
        <f>"90632"</f>
        <v>90632</v>
      </c>
      <c r="B961" s="1" t="str">
        <f>"11244"</f>
        <v>11244</v>
      </c>
      <c r="C961" s="1" t="str">
        <f>"LA HABRA"</f>
        <v>LA HABRA</v>
      </c>
      <c r="D961" s="1" t="str">
        <f>"CA"</f>
        <v>CA</v>
      </c>
      <c r="E961" s="2">
        <v>1</v>
      </c>
      <c r="F961" s="2">
        <v>1</v>
      </c>
      <c r="G961" s="2">
        <v>1</v>
      </c>
      <c r="H961" s="2">
        <v>1</v>
      </c>
    </row>
    <row r="962" spans="1:8" x14ac:dyDescent="0.25">
      <c r="A962" s="1" t="str">
        <f>"07878"</f>
        <v>07878</v>
      </c>
      <c r="B962" s="1" t="str">
        <f>"35084"</f>
        <v>35084</v>
      </c>
      <c r="C962" s="1" t="str">
        <f>"MOUNT TABOR"</f>
        <v>MOUNT TABOR</v>
      </c>
      <c r="D962" s="1" t="str">
        <f>"NJ"</f>
        <v>NJ</v>
      </c>
      <c r="E962" s="2">
        <v>1</v>
      </c>
      <c r="F962" s="2">
        <v>1</v>
      </c>
      <c r="G962" s="2">
        <v>1</v>
      </c>
      <c r="H962" s="2">
        <v>1</v>
      </c>
    </row>
    <row r="963" spans="1:8" x14ac:dyDescent="0.25">
      <c r="A963" s="1" t="str">
        <f>"08620"</f>
        <v>08620</v>
      </c>
      <c r="B963" s="1" t="str">
        <f>"35154"</f>
        <v>35154</v>
      </c>
      <c r="C963" s="1" t="str">
        <f>"TRENTON"</f>
        <v>TRENTON</v>
      </c>
      <c r="D963" s="1" t="str">
        <f>"NJ"</f>
        <v>NJ</v>
      </c>
      <c r="E963" s="2">
        <v>1.6207455429497501E-3</v>
      </c>
      <c r="F963" s="2">
        <v>0</v>
      </c>
      <c r="G963" s="2">
        <v>0</v>
      </c>
      <c r="H963" s="2">
        <v>1.46198830409356E-3</v>
      </c>
    </row>
    <row r="964" spans="1:8" x14ac:dyDescent="0.25">
      <c r="A964" s="1" t="str">
        <f>"08620"</f>
        <v>08620</v>
      </c>
      <c r="B964" s="1" t="str">
        <f>"15804"</f>
        <v>15804</v>
      </c>
      <c r="C964" s="1" t="str">
        <f>"TRENTON"</f>
        <v>TRENTON</v>
      </c>
      <c r="D964" s="1" t="str">
        <f>"NJ"</f>
        <v>NJ</v>
      </c>
      <c r="E964" s="2">
        <v>0.99837925445705</v>
      </c>
      <c r="F964" s="2">
        <v>1</v>
      </c>
      <c r="G964" s="2">
        <v>1</v>
      </c>
      <c r="H964" s="2">
        <v>0.99853801169590595</v>
      </c>
    </row>
    <row r="965" spans="1:8" x14ac:dyDescent="0.25">
      <c r="A965" s="1" t="str">
        <f>"18955"</f>
        <v>18955</v>
      </c>
      <c r="B965" s="1" t="str">
        <f>"33874"</f>
        <v>33874</v>
      </c>
      <c r="C965" s="1" t="str">
        <f>"RICHLANDTOWN"</f>
        <v>RICHLANDTOWN</v>
      </c>
      <c r="D965" s="1" t="str">
        <f>"PA"</f>
        <v>PA</v>
      </c>
      <c r="E965" s="2">
        <v>1</v>
      </c>
      <c r="F965" s="2">
        <v>1</v>
      </c>
      <c r="G965" s="2">
        <v>1</v>
      </c>
      <c r="H965" s="2">
        <v>1</v>
      </c>
    </row>
    <row r="966" spans="1:8" x14ac:dyDescent="0.25">
      <c r="A966" s="1" t="str">
        <f>"19043"</f>
        <v>19043</v>
      </c>
      <c r="B966" s="1" t="str">
        <f>"37964"</f>
        <v>37964</v>
      </c>
      <c r="C966" s="1" t="str">
        <f>"HOLMES"</f>
        <v>HOLMES</v>
      </c>
      <c r="D966" s="1" t="str">
        <f>"PA"</f>
        <v>PA</v>
      </c>
      <c r="E966" s="2">
        <v>1</v>
      </c>
      <c r="F966" s="2">
        <v>1</v>
      </c>
      <c r="G966" s="2">
        <v>1</v>
      </c>
      <c r="H966" s="2">
        <v>1</v>
      </c>
    </row>
    <row r="967" spans="1:8" x14ac:dyDescent="0.25">
      <c r="A967" s="1" t="str">
        <f>"20792"</f>
        <v>20792</v>
      </c>
      <c r="B967" s="1" t="str">
        <f>"47894"</f>
        <v>47894</v>
      </c>
      <c r="C967" s="1" t="str">
        <f>"UPPER MARLBORO"</f>
        <v>UPPER MARLBORO</v>
      </c>
      <c r="D967" s="1" t="str">
        <f>"MD"</f>
        <v>MD</v>
      </c>
      <c r="E967" s="2">
        <v>1</v>
      </c>
      <c r="F967" s="2">
        <v>1</v>
      </c>
      <c r="G967" s="2">
        <v>1</v>
      </c>
      <c r="H967" s="2">
        <v>1</v>
      </c>
    </row>
    <row r="968" spans="1:8" x14ac:dyDescent="0.25">
      <c r="A968" s="1" t="str">
        <f>"33438"</f>
        <v>33438</v>
      </c>
      <c r="B968" s="1" t="str">
        <f>"48424"</f>
        <v>48424</v>
      </c>
      <c r="C968" s="1" t="str">
        <f>"CANAL POINT"</f>
        <v>CANAL POINT</v>
      </c>
      <c r="D968" s="1" t="str">
        <f>"FL"</f>
        <v>FL</v>
      </c>
      <c r="E968" s="2">
        <v>1</v>
      </c>
      <c r="F968" s="2">
        <v>1</v>
      </c>
      <c r="G968" s="2">
        <v>1</v>
      </c>
      <c r="H968" s="2">
        <v>1</v>
      </c>
    </row>
    <row r="969" spans="1:8" x14ac:dyDescent="0.25">
      <c r="A969" s="1" t="str">
        <f>"76462"</f>
        <v>76462</v>
      </c>
      <c r="B969" s="1" t="str">
        <f>"23104"</f>
        <v>23104</v>
      </c>
      <c r="C969" s="1" t="str">
        <f>"LIPAN"</f>
        <v>LIPAN</v>
      </c>
      <c r="D969" s="1" t="str">
        <f>"TX"</f>
        <v>TX</v>
      </c>
      <c r="E969" s="2">
        <v>1</v>
      </c>
      <c r="F969" s="2">
        <v>1</v>
      </c>
      <c r="G969" s="2">
        <v>0</v>
      </c>
      <c r="H969" s="2">
        <v>1</v>
      </c>
    </row>
    <row r="970" spans="1:8" x14ac:dyDescent="0.25">
      <c r="A970" s="1" t="str">
        <f>"90409"</f>
        <v>90409</v>
      </c>
      <c r="B970" s="1" t="str">
        <f>"31084"</f>
        <v>31084</v>
      </c>
      <c r="C970" s="1" t="str">
        <f>"SANTA MONICA"</f>
        <v>SANTA MONICA</v>
      </c>
      <c r="D970" s="1" t="str">
        <f>"CA"</f>
        <v>CA</v>
      </c>
      <c r="E970" s="2">
        <v>1</v>
      </c>
      <c r="F970" s="2">
        <v>1</v>
      </c>
      <c r="G970" s="2">
        <v>1</v>
      </c>
      <c r="H970" s="2">
        <v>1</v>
      </c>
    </row>
    <row r="971" spans="1:8" x14ac:dyDescent="0.25">
      <c r="A971" s="1" t="str">
        <f>"98291"</f>
        <v>98291</v>
      </c>
      <c r="B971" s="1" t="str">
        <f>"42644"</f>
        <v>42644</v>
      </c>
      <c r="C971" s="1" t="str">
        <f>"SNOHOMISH"</f>
        <v>SNOHOMISH</v>
      </c>
      <c r="D971" s="1" t="str">
        <f>"WA"</f>
        <v>WA</v>
      </c>
      <c r="E971" s="2">
        <v>1</v>
      </c>
      <c r="F971" s="2">
        <v>1</v>
      </c>
      <c r="G971" s="2">
        <v>1</v>
      </c>
      <c r="H971" s="2">
        <v>1</v>
      </c>
    </row>
    <row r="972" spans="1:8" x14ac:dyDescent="0.25">
      <c r="A972" s="1" t="str">
        <f>"22199"</f>
        <v>22199</v>
      </c>
      <c r="B972" s="1" t="str">
        <f>"47894"</f>
        <v>47894</v>
      </c>
      <c r="C972" s="1" t="str">
        <f>"LORTON"</f>
        <v>LORTON</v>
      </c>
      <c r="D972" s="1" t="str">
        <f>"VA"</f>
        <v>VA</v>
      </c>
      <c r="E972" s="2">
        <v>1</v>
      </c>
      <c r="F972" s="2">
        <v>1</v>
      </c>
      <c r="G972" s="2">
        <v>1</v>
      </c>
      <c r="H972" s="2">
        <v>1</v>
      </c>
    </row>
    <row r="973" spans="1:8" x14ac:dyDescent="0.25">
      <c r="A973" s="1" t="str">
        <f>"08610"</f>
        <v>08610</v>
      </c>
      <c r="B973" s="1" t="str">
        <f>"15804"</f>
        <v>15804</v>
      </c>
      <c r="C973" s="1" t="str">
        <f>"TRENTON"</f>
        <v>TRENTON</v>
      </c>
      <c r="D973" s="1" t="str">
        <f>"NJ"</f>
        <v>NJ</v>
      </c>
      <c r="E973" s="2">
        <v>1</v>
      </c>
      <c r="F973" s="2">
        <v>1</v>
      </c>
      <c r="G973" s="2">
        <v>1</v>
      </c>
      <c r="H973" s="2">
        <v>1</v>
      </c>
    </row>
    <row r="974" spans="1:8" x14ac:dyDescent="0.25">
      <c r="A974" s="1" t="str">
        <f>"18036"</f>
        <v>18036</v>
      </c>
      <c r="B974" s="1" t="str">
        <f>"33874"</f>
        <v>33874</v>
      </c>
      <c r="C974" s="1" t="str">
        <f>"COOPERSBURG"</f>
        <v>COOPERSBURG</v>
      </c>
      <c r="D974" s="1" t="str">
        <f>"PA"</f>
        <v>PA</v>
      </c>
      <c r="E974" s="2">
        <v>1</v>
      </c>
      <c r="F974" s="2">
        <v>1</v>
      </c>
      <c r="G974" s="2">
        <v>1</v>
      </c>
      <c r="H974" s="2">
        <v>1</v>
      </c>
    </row>
    <row r="975" spans="1:8" x14ac:dyDescent="0.25">
      <c r="A975" s="1" t="str">
        <f>"53139"</f>
        <v>53139</v>
      </c>
      <c r="B975" s="1" t="str">
        <f>"29404"</f>
        <v>29404</v>
      </c>
      <c r="C975" s="1" t="str">
        <f>"KANSASVILLE"</f>
        <v>KANSASVILLE</v>
      </c>
      <c r="D975" s="1" t="str">
        <f>"WI"</f>
        <v>WI</v>
      </c>
      <c r="E975" s="2">
        <v>1</v>
      </c>
      <c r="F975" s="2">
        <v>1</v>
      </c>
      <c r="G975" s="2">
        <v>1</v>
      </c>
      <c r="H975" s="2">
        <v>1</v>
      </c>
    </row>
    <row r="976" spans="1:8" x14ac:dyDescent="0.25">
      <c r="A976" s="1" t="str">
        <f>"91603"</f>
        <v>91603</v>
      </c>
      <c r="B976" s="1" t="str">
        <f>"31084"</f>
        <v>31084</v>
      </c>
      <c r="C976" s="1" t="str">
        <f>"NORTH HOLLYWOOD"</f>
        <v>NORTH HOLLYWOOD</v>
      </c>
      <c r="D976" s="1" t="str">
        <f>"CA"</f>
        <v>CA</v>
      </c>
      <c r="E976" s="2">
        <v>1</v>
      </c>
      <c r="F976" s="2">
        <v>1</v>
      </c>
      <c r="G976" s="2">
        <v>1</v>
      </c>
      <c r="H976" s="2">
        <v>1</v>
      </c>
    </row>
    <row r="977" spans="1:8" x14ac:dyDescent="0.25">
      <c r="A977" s="1" t="str">
        <f>"60537"</f>
        <v>60537</v>
      </c>
      <c r="B977" s="1" t="str">
        <f>"20994"</f>
        <v>20994</v>
      </c>
      <c r="C977" s="1" t="str">
        <f>"MILLINGTON"</f>
        <v>MILLINGTON</v>
      </c>
      <c r="D977" s="1" t="str">
        <f>"IL"</f>
        <v>IL</v>
      </c>
      <c r="E977" s="2">
        <v>1</v>
      </c>
      <c r="F977" s="2">
        <v>1</v>
      </c>
      <c r="G977" s="2">
        <v>1</v>
      </c>
      <c r="H977" s="2">
        <v>1</v>
      </c>
    </row>
    <row r="978" spans="1:8" x14ac:dyDescent="0.25">
      <c r="A978" s="1" t="str">
        <f>"02203"</f>
        <v>02203</v>
      </c>
      <c r="B978" s="1" t="str">
        <f>"14454"</f>
        <v>14454</v>
      </c>
      <c r="C978" s="1" t="str">
        <f>"BOSTON"</f>
        <v>BOSTON</v>
      </c>
      <c r="D978" s="1" t="str">
        <f>"MA"</f>
        <v>MA</v>
      </c>
      <c r="E978" s="2">
        <v>1</v>
      </c>
      <c r="F978" s="2">
        <v>1</v>
      </c>
      <c r="G978" s="2">
        <v>1</v>
      </c>
      <c r="H978" s="2">
        <v>1</v>
      </c>
    </row>
    <row r="979" spans="1:8" x14ac:dyDescent="0.25">
      <c r="A979" s="1" t="str">
        <f>"75357"</f>
        <v>75357</v>
      </c>
      <c r="B979" s="1" t="str">
        <f>"19124"</f>
        <v>19124</v>
      </c>
      <c r="C979" s="1" t="str">
        <f>"DALLAS"</f>
        <v>DALLAS</v>
      </c>
      <c r="D979" s="1" t="str">
        <f>"TX"</f>
        <v>TX</v>
      </c>
      <c r="E979" s="2">
        <v>1</v>
      </c>
      <c r="F979" s="2">
        <v>1</v>
      </c>
      <c r="G979" s="2">
        <v>1</v>
      </c>
      <c r="H979" s="2">
        <v>1</v>
      </c>
    </row>
    <row r="980" spans="1:8" x14ac:dyDescent="0.25">
      <c r="A980" s="1" t="str">
        <f>"22320"</f>
        <v>22320</v>
      </c>
      <c r="B980" s="1" t="str">
        <f>"47894"</f>
        <v>47894</v>
      </c>
      <c r="C980" s="1" t="str">
        <f>"ALEXANDRIA"</f>
        <v>ALEXANDRIA</v>
      </c>
      <c r="D980" s="1" t="str">
        <f>"VA"</f>
        <v>VA</v>
      </c>
      <c r="E980" s="2">
        <v>1</v>
      </c>
      <c r="F980" s="2">
        <v>1</v>
      </c>
      <c r="G980" s="2">
        <v>1</v>
      </c>
      <c r="H980" s="2">
        <v>1</v>
      </c>
    </row>
    <row r="981" spans="1:8" x14ac:dyDescent="0.25">
      <c r="A981" s="1" t="str">
        <f>"10125"</f>
        <v>10125</v>
      </c>
      <c r="B981" s="1" t="str">
        <f>"35614"</f>
        <v>35614</v>
      </c>
      <c r="C981" s="1" t="str">
        <f>"NEW YORK"</f>
        <v>NEW YORK</v>
      </c>
      <c r="D981" s="1" t="str">
        <f>"NY"</f>
        <v>NY</v>
      </c>
      <c r="E981" s="2">
        <v>0</v>
      </c>
      <c r="F981" s="2">
        <v>0</v>
      </c>
      <c r="G981" s="2">
        <v>1</v>
      </c>
      <c r="H981" s="2">
        <v>1</v>
      </c>
    </row>
    <row r="982" spans="1:8" x14ac:dyDescent="0.25">
      <c r="A982" s="1" t="str">
        <f>"10213"</f>
        <v>10213</v>
      </c>
      <c r="B982" s="1" t="str">
        <f>"35614"</f>
        <v>35614</v>
      </c>
      <c r="C982" s="1" t="str">
        <f>"NEW YORK"</f>
        <v>NEW YORK</v>
      </c>
      <c r="D982" s="1" t="str">
        <f>"NY"</f>
        <v>NY</v>
      </c>
      <c r="E982" s="2">
        <v>0</v>
      </c>
      <c r="F982" s="2">
        <v>0</v>
      </c>
      <c r="G982" s="2">
        <v>1</v>
      </c>
      <c r="H982" s="2">
        <v>1</v>
      </c>
    </row>
    <row r="983" spans="1:8" x14ac:dyDescent="0.25">
      <c r="A983" s="1" t="str">
        <f>"08023"</f>
        <v>08023</v>
      </c>
      <c r="B983" s="1" t="str">
        <f>"48864"</f>
        <v>48864</v>
      </c>
      <c r="C983" s="1" t="str">
        <f>"DEEPWATER"</f>
        <v>DEEPWATER</v>
      </c>
      <c r="D983" s="1" t="str">
        <f>"NJ"</f>
        <v>NJ</v>
      </c>
      <c r="E983" s="2">
        <v>1</v>
      </c>
      <c r="F983" s="2">
        <v>0</v>
      </c>
      <c r="G983" s="2">
        <v>1</v>
      </c>
      <c r="H983" s="2">
        <v>1</v>
      </c>
    </row>
    <row r="984" spans="1:8" x14ac:dyDescent="0.25">
      <c r="A984" s="1" t="str">
        <f>"18949"</f>
        <v>18949</v>
      </c>
      <c r="B984" s="1" t="str">
        <f>"33874"</f>
        <v>33874</v>
      </c>
      <c r="C984" s="1" t="str">
        <f>"PLUMSTEADVILLE"</f>
        <v>PLUMSTEADVILLE</v>
      </c>
      <c r="D984" s="1" t="str">
        <f>"PA"</f>
        <v>PA</v>
      </c>
      <c r="E984" s="2">
        <v>1</v>
      </c>
      <c r="F984" s="2">
        <v>1</v>
      </c>
      <c r="G984" s="2">
        <v>1</v>
      </c>
      <c r="H984" s="2">
        <v>1</v>
      </c>
    </row>
    <row r="985" spans="1:8" x14ac:dyDescent="0.25">
      <c r="A985" s="1" t="str">
        <f>"94976"</f>
        <v>94976</v>
      </c>
      <c r="B985" s="1" t="str">
        <f>"42034"</f>
        <v>42034</v>
      </c>
      <c r="C985" s="1" t="str">
        <f>"CORTE MADERA"</f>
        <v>CORTE MADERA</v>
      </c>
      <c r="D985" s="1" t="str">
        <f>"CA"</f>
        <v>CA</v>
      </c>
      <c r="E985" s="2">
        <v>1</v>
      </c>
      <c r="F985" s="2">
        <v>1</v>
      </c>
      <c r="G985" s="2">
        <v>1</v>
      </c>
      <c r="H985" s="2">
        <v>1</v>
      </c>
    </row>
    <row r="986" spans="1:8" x14ac:dyDescent="0.25">
      <c r="A986" s="1" t="str">
        <f>"20047"</f>
        <v>20047</v>
      </c>
      <c r="B986" s="1" t="str">
        <f>"47894"</f>
        <v>47894</v>
      </c>
      <c r="C986" s="1" t="str">
        <f>"WASHINGTON"</f>
        <v>WASHINGTON</v>
      </c>
      <c r="D986" s="1" t="str">
        <f>"DC"</f>
        <v>DC</v>
      </c>
      <c r="E986" s="2">
        <v>0</v>
      </c>
      <c r="F986" s="2">
        <v>1</v>
      </c>
      <c r="G986" s="2">
        <v>0</v>
      </c>
      <c r="H986" s="2">
        <v>1</v>
      </c>
    </row>
    <row r="987" spans="1:8" x14ac:dyDescent="0.25">
      <c r="A987" s="1" t="str">
        <f>"60536"</f>
        <v>60536</v>
      </c>
      <c r="B987" s="1" t="str">
        <f>"20994"</f>
        <v>20994</v>
      </c>
      <c r="C987" s="1" t="str">
        <f>"MILLBROOK"</f>
        <v>MILLBROOK</v>
      </c>
      <c r="D987" s="1" t="str">
        <f>"IL"</f>
        <v>IL</v>
      </c>
      <c r="E987" s="2">
        <v>1</v>
      </c>
      <c r="F987" s="2">
        <v>1</v>
      </c>
      <c r="G987" s="2">
        <v>1</v>
      </c>
      <c r="H987" s="2">
        <v>1</v>
      </c>
    </row>
    <row r="988" spans="1:8" x14ac:dyDescent="0.25">
      <c r="A988" s="1" t="str">
        <f>"01937"</f>
        <v>01937</v>
      </c>
      <c r="B988" s="1" t="str">
        <f>"15764"</f>
        <v>15764</v>
      </c>
      <c r="C988" s="1" t="str">
        <f>"HATHORNE"</f>
        <v>HATHORNE</v>
      </c>
      <c r="D988" s="1" t="str">
        <f>"MA"</f>
        <v>MA</v>
      </c>
      <c r="E988" s="2">
        <v>0</v>
      </c>
      <c r="F988" s="2">
        <v>0</v>
      </c>
      <c r="G988" s="2">
        <v>1</v>
      </c>
      <c r="H988" s="2">
        <v>1</v>
      </c>
    </row>
    <row r="989" spans="1:8" x14ac:dyDescent="0.25">
      <c r="A989" s="1" t="str">
        <f>"93586"</f>
        <v>93586</v>
      </c>
      <c r="B989" s="1" t="str">
        <f>"31084"</f>
        <v>31084</v>
      </c>
      <c r="C989" s="1" t="str">
        <f>"LANCASTER"</f>
        <v>LANCASTER</v>
      </c>
      <c r="D989" s="1" t="str">
        <f>"CA"</f>
        <v>CA</v>
      </c>
      <c r="E989" s="2">
        <v>1</v>
      </c>
      <c r="F989" s="2">
        <v>1</v>
      </c>
      <c r="G989" s="2">
        <v>1</v>
      </c>
      <c r="H989" s="2">
        <v>1</v>
      </c>
    </row>
    <row r="990" spans="1:8" x14ac:dyDescent="0.25">
      <c r="A990" s="1" t="str">
        <f>"18913"</f>
        <v>18913</v>
      </c>
      <c r="B990" s="1" t="str">
        <f>"33874"</f>
        <v>33874</v>
      </c>
      <c r="C990" s="1" t="str">
        <f>"CARVERSVILLE"</f>
        <v>CARVERSVILLE</v>
      </c>
      <c r="D990" s="1" t="str">
        <f>"PA"</f>
        <v>PA</v>
      </c>
      <c r="E990" s="2">
        <v>1</v>
      </c>
      <c r="F990" s="2">
        <v>0</v>
      </c>
      <c r="G990" s="2">
        <v>1</v>
      </c>
      <c r="H990" s="2">
        <v>1</v>
      </c>
    </row>
    <row r="991" spans="1:8" x14ac:dyDescent="0.25">
      <c r="A991" s="1" t="str">
        <f>"91124"</f>
        <v>91124</v>
      </c>
      <c r="B991" s="1" t="str">
        <f>"31084"</f>
        <v>31084</v>
      </c>
      <c r="C991" s="1" t="str">
        <f>"PASADENA"</f>
        <v>PASADENA</v>
      </c>
      <c r="D991" s="1" t="str">
        <f>"CA"</f>
        <v>CA</v>
      </c>
      <c r="E991" s="2">
        <v>0</v>
      </c>
      <c r="F991" s="2">
        <v>1</v>
      </c>
      <c r="G991" s="2">
        <v>0</v>
      </c>
      <c r="H991" s="2">
        <v>1</v>
      </c>
    </row>
    <row r="992" spans="1:8" x14ac:dyDescent="0.25">
      <c r="A992" s="1" t="str">
        <f>"94569"</f>
        <v>94569</v>
      </c>
      <c r="B992" s="1" t="str">
        <f>"36084"</f>
        <v>36084</v>
      </c>
      <c r="C992" s="1" t="str">
        <f>"PORT COSTA"</f>
        <v>PORT COSTA</v>
      </c>
      <c r="D992" s="1" t="str">
        <f>"CA"</f>
        <v>CA</v>
      </c>
      <c r="E992" s="2">
        <v>1</v>
      </c>
      <c r="F992" s="2">
        <v>0</v>
      </c>
      <c r="G992" s="2">
        <v>1</v>
      </c>
      <c r="H992" s="2">
        <v>1</v>
      </c>
    </row>
    <row r="993" spans="1:8" x14ac:dyDescent="0.25">
      <c r="A993" s="1" t="str">
        <f>"20395"</f>
        <v>20395</v>
      </c>
      <c r="B993" s="1" t="str">
        <f>"47894"</f>
        <v>47894</v>
      </c>
      <c r="C993" s="1" t="str">
        <f>"WASHINGTON"</f>
        <v>WASHINGTON</v>
      </c>
      <c r="D993" s="1" t="str">
        <f>"DC"</f>
        <v>DC</v>
      </c>
      <c r="E993" s="2">
        <v>0</v>
      </c>
      <c r="F993" s="2">
        <v>1</v>
      </c>
      <c r="G993" s="2">
        <v>0</v>
      </c>
      <c r="H993" s="2">
        <v>1</v>
      </c>
    </row>
    <row r="994" spans="1:8" x14ac:dyDescent="0.25">
      <c r="A994" s="1" t="str">
        <f>"20270"</f>
        <v>20270</v>
      </c>
      <c r="B994" s="1" t="str">
        <f>"47894"</f>
        <v>47894</v>
      </c>
      <c r="C994" s="1" t="str">
        <f>"WASHINGTON"</f>
        <v>WASHINGTON</v>
      </c>
      <c r="D994" s="1" t="str">
        <f>"DC"</f>
        <v>DC</v>
      </c>
      <c r="E994" s="2">
        <v>0</v>
      </c>
      <c r="F994" s="2">
        <v>1</v>
      </c>
      <c r="G994" s="2">
        <v>0</v>
      </c>
      <c r="H994" s="2">
        <v>1</v>
      </c>
    </row>
    <row r="995" spans="1:8" x14ac:dyDescent="0.25">
      <c r="A995" s="1" t="str">
        <f>"20227"</f>
        <v>20227</v>
      </c>
      <c r="B995" s="1" t="str">
        <f>"47894"</f>
        <v>47894</v>
      </c>
      <c r="C995" s="1" t="str">
        <f>"WASHINGTON"</f>
        <v>WASHINGTON</v>
      </c>
      <c r="D995" s="1" t="str">
        <f>"DC"</f>
        <v>DC</v>
      </c>
      <c r="E995" s="2">
        <v>0</v>
      </c>
      <c r="F995" s="2">
        <v>1</v>
      </c>
      <c r="G995" s="2">
        <v>0</v>
      </c>
      <c r="H995" s="2">
        <v>1</v>
      </c>
    </row>
    <row r="996" spans="1:8" x14ac:dyDescent="0.25">
      <c r="A996" s="1" t="str">
        <f>"61012"</f>
        <v>61012</v>
      </c>
      <c r="B996" s="1" t="str">
        <f>"16984"</f>
        <v>16984</v>
      </c>
      <c r="C996" s="1" t="str">
        <f>"CAPRON"</f>
        <v>CAPRON</v>
      </c>
      <c r="D996" s="1" t="str">
        <f>"IL"</f>
        <v>IL</v>
      </c>
      <c r="E996" s="2">
        <v>1</v>
      </c>
      <c r="F996" s="2">
        <v>0</v>
      </c>
      <c r="G996" s="2">
        <v>0</v>
      </c>
      <c r="H996" s="2">
        <v>1</v>
      </c>
    </row>
    <row r="997" spans="1:8" x14ac:dyDescent="0.25">
      <c r="A997" s="1" t="str">
        <f>"08039"</f>
        <v>08039</v>
      </c>
      <c r="B997" s="1" t="str">
        <f>"15804"</f>
        <v>15804</v>
      </c>
      <c r="C997" s="1" t="str">
        <f>"HARRISONVILLE"</f>
        <v>HARRISONVILLE</v>
      </c>
      <c r="D997" s="1" t="str">
        <f>"NJ"</f>
        <v>NJ</v>
      </c>
      <c r="E997" s="2">
        <v>1</v>
      </c>
      <c r="F997" s="2">
        <v>0</v>
      </c>
      <c r="G997" s="2">
        <v>1</v>
      </c>
      <c r="H997" s="2">
        <v>1</v>
      </c>
    </row>
    <row r="998" spans="1:8" x14ac:dyDescent="0.25">
      <c r="A998" s="1" t="str">
        <f>"08899"</f>
        <v>08899</v>
      </c>
      <c r="B998" s="1" t="str">
        <f>"35154"</f>
        <v>35154</v>
      </c>
      <c r="C998" s="1" t="str">
        <f>"EDISON"</f>
        <v>EDISON</v>
      </c>
      <c r="D998" s="1" t="str">
        <f>"NJ"</f>
        <v>NJ</v>
      </c>
      <c r="E998" s="2">
        <v>0</v>
      </c>
      <c r="F998" s="2">
        <v>1</v>
      </c>
      <c r="G998" s="2">
        <v>0</v>
      </c>
      <c r="H998" s="2">
        <v>1</v>
      </c>
    </row>
    <row r="999" spans="1:8" x14ac:dyDescent="0.25">
      <c r="A999" s="1" t="str">
        <f>"20131"</f>
        <v>20131</v>
      </c>
      <c r="B999" s="1" t="str">
        <f>"47894"</f>
        <v>47894</v>
      </c>
      <c r="C999" s="1" t="str">
        <f>"PHILOMONT"</f>
        <v>PHILOMONT</v>
      </c>
      <c r="D999" s="1" t="str">
        <f>"VA"</f>
        <v>VA</v>
      </c>
      <c r="E999" s="2">
        <v>0</v>
      </c>
      <c r="F999" s="2">
        <v>1</v>
      </c>
      <c r="G999" s="2">
        <v>0</v>
      </c>
      <c r="H999" s="2">
        <v>1</v>
      </c>
    </row>
    <row r="1000" spans="1:8" x14ac:dyDescent="0.25">
      <c r="A1000" s="1" t="str">
        <f>"19371"</f>
        <v>19371</v>
      </c>
      <c r="B1000" s="1" t="str">
        <f>"33874"</f>
        <v>33874</v>
      </c>
      <c r="C1000" s="1" t="str">
        <f>"SUPLEE"</f>
        <v>SUPLEE</v>
      </c>
      <c r="D1000" s="1" t="str">
        <f>"PA"</f>
        <v>PA</v>
      </c>
      <c r="E1000" s="2">
        <v>0</v>
      </c>
      <c r="F1000" s="2">
        <v>0</v>
      </c>
      <c r="G1000" s="2">
        <v>1</v>
      </c>
      <c r="H1000" s="2">
        <v>1</v>
      </c>
    </row>
    <row r="1001" spans="1:8" x14ac:dyDescent="0.25">
      <c r="A1001" s="1" t="str">
        <f>"33464"</f>
        <v>33464</v>
      </c>
      <c r="B1001" s="1" t="str">
        <f>"48424"</f>
        <v>48424</v>
      </c>
      <c r="C1001" s="1" t="str">
        <f>"BOCA RATON"</f>
        <v>BOCA RATON</v>
      </c>
      <c r="D1001" s="1" t="str">
        <f>"FL"</f>
        <v>FL</v>
      </c>
      <c r="E1001" s="2">
        <v>0</v>
      </c>
      <c r="F1001" s="2">
        <v>1</v>
      </c>
      <c r="G1001" s="2">
        <v>0</v>
      </c>
      <c r="H1001" s="2">
        <v>1</v>
      </c>
    </row>
    <row r="1002" spans="1:8" x14ac:dyDescent="0.25">
      <c r="A1002" s="1" t="str">
        <f>"20892"</f>
        <v>20892</v>
      </c>
      <c r="B1002" s="1" t="str">
        <f>"23224"</f>
        <v>23224</v>
      </c>
      <c r="C1002" s="1" t="str">
        <f>"BETHESDA"</f>
        <v>BETHESDA</v>
      </c>
      <c r="D1002" s="1" t="str">
        <f>"MD"</f>
        <v>MD</v>
      </c>
      <c r="E1002" s="2">
        <v>0</v>
      </c>
      <c r="F1002" s="2">
        <v>1</v>
      </c>
      <c r="G1002" s="2">
        <v>0</v>
      </c>
      <c r="H1002" s="2">
        <v>1</v>
      </c>
    </row>
    <row r="1003" spans="1:8" x14ac:dyDescent="0.25">
      <c r="A1003" s="1" t="str">
        <f>"08095"</f>
        <v>08095</v>
      </c>
      <c r="B1003" s="1" t="str">
        <f>"15804"</f>
        <v>15804</v>
      </c>
      <c r="C1003" s="1" t="str">
        <f>"WINSLOW"</f>
        <v>WINSLOW</v>
      </c>
      <c r="D1003" s="1" t="str">
        <f>"NJ"</f>
        <v>NJ</v>
      </c>
      <c r="E1003" s="2">
        <v>0</v>
      </c>
      <c r="F1003" s="2">
        <v>0</v>
      </c>
      <c r="G1003" s="2">
        <v>1</v>
      </c>
      <c r="H1003" s="2">
        <v>1</v>
      </c>
    </row>
    <row r="1004" spans="1:8" x14ac:dyDescent="0.25">
      <c r="A1004" s="1" t="str">
        <f>"19354"</f>
        <v>19354</v>
      </c>
      <c r="B1004" s="1" t="str">
        <f>"33874"</f>
        <v>33874</v>
      </c>
      <c r="C1004" s="1" t="str">
        <f>"LYNDELL"</f>
        <v>LYNDELL</v>
      </c>
      <c r="D1004" s="1" t="str">
        <f>"PA"</f>
        <v>PA</v>
      </c>
      <c r="E1004" s="2">
        <v>0</v>
      </c>
      <c r="F1004" s="2">
        <v>0</v>
      </c>
      <c r="G1004" s="2">
        <v>1</v>
      </c>
      <c r="H1004" s="2">
        <v>1</v>
      </c>
    </row>
    <row r="1005" spans="1:8" x14ac:dyDescent="0.25">
      <c r="A1005" s="1" t="str">
        <f>"01772"</f>
        <v>01772</v>
      </c>
      <c r="B1005" s="1" t="str">
        <f>"15764"</f>
        <v>15764</v>
      </c>
      <c r="C1005" s="1" t="str">
        <f>"SOUTHBOROUGH"</f>
        <v>SOUTHBOROUGH</v>
      </c>
      <c r="D1005" s="1" t="str">
        <f>"MA"</f>
        <v>MA</v>
      </c>
      <c r="E1005" s="2">
        <v>1</v>
      </c>
      <c r="F1005" s="2">
        <v>0</v>
      </c>
      <c r="G1005" s="2">
        <v>0</v>
      </c>
      <c r="H1005" s="2">
        <v>1</v>
      </c>
    </row>
    <row r="1006" spans="1:8" x14ac:dyDescent="0.25">
      <c r="A1006" s="1" t="str">
        <f>"21922"</f>
        <v>21922</v>
      </c>
      <c r="B1006" s="1" t="str">
        <f>"48864"</f>
        <v>48864</v>
      </c>
      <c r="C1006" s="1" t="str">
        <f>"ELKTON"</f>
        <v>ELKTON</v>
      </c>
      <c r="D1006" s="1" t="str">
        <f>"MD"</f>
        <v>MD</v>
      </c>
      <c r="E1006" s="2">
        <v>0</v>
      </c>
      <c r="F1006" s="2">
        <v>1</v>
      </c>
      <c r="G1006" s="2">
        <v>0</v>
      </c>
      <c r="H1006" s="2">
        <v>1</v>
      </c>
    </row>
    <row r="1007" spans="1:8" x14ac:dyDescent="0.25">
      <c r="A1007" s="1" t="str">
        <f>"08870"</f>
        <v>08870</v>
      </c>
      <c r="B1007" s="1" t="str">
        <f>"35084"</f>
        <v>35084</v>
      </c>
      <c r="C1007" s="1" t="str">
        <f>"READINGTON"</f>
        <v>READINGTON</v>
      </c>
      <c r="D1007" s="1" t="str">
        <f>"NJ"</f>
        <v>NJ</v>
      </c>
      <c r="E1007" s="2">
        <v>0</v>
      </c>
      <c r="F1007" s="2">
        <v>0</v>
      </c>
      <c r="G1007" s="2">
        <v>1</v>
      </c>
      <c r="H1007" s="2">
        <v>1</v>
      </c>
    </row>
    <row r="1008" spans="1:8" x14ac:dyDescent="0.25">
      <c r="A1008" s="1" t="str">
        <f>"19318"</f>
        <v>19318</v>
      </c>
      <c r="B1008" s="1" t="str">
        <f>"33874"</f>
        <v>33874</v>
      </c>
      <c r="C1008" s="1" t="str">
        <f>"CHATHAM"</f>
        <v>CHATHAM</v>
      </c>
      <c r="D1008" s="1" t="str">
        <f>"PA"</f>
        <v>PA</v>
      </c>
      <c r="E1008" s="2">
        <v>0</v>
      </c>
      <c r="F1008" s="2">
        <v>0</v>
      </c>
      <c r="G1008" s="2">
        <v>1</v>
      </c>
      <c r="H1008" s="2">
        <v>1</v>
      </c>
    </row>
    <row r="1009" spans="1:8" x14ac:dyDescent="0.25">
      <c r="A1009" s="1" t="str">
        <f>"20590"</f>
        <v>20590</v>
      </c>
      <c r="B1009" s="1" t="str">
        <f>"47894"</f>
        <v>47894</v>
      </c>
      <c r="C1009" s="1" t="str">
        <f>"WASHINGTON"</f>
        <v>WASHINGTON</v>
      </c>
      <c r="D1009" s="1" t="str">
        <f>"DC"</f>
        <v>DC</v>
      </c>
      <c r="E1009" s="2">
        <v>0</v>
      </c>
      <c r="F1009" s="2">
        <v>1</v>
      </c>
      <c r="G1009" s="2">
        <v>0</v>
      </c>
      <c r="H1009" s="2">
        <v>1</v>
      </c>
    </row>
    <row r="1010" spans="1:8" x14ac:dyDescent="0.25">
      <c r="A1010" s="1" t="str">
        <f>"07855"</f>
        <v>07855</v>
      </c>
      <c r="B1010" s="1" t="str">
        <f>"35084"</f>
        <v>35084</v>
      </c>
      <c r="C1010" s="1" t="str">
        <f>"MIDDLEVILLE"</f>
        <v>MIDDLEVILLE</v>
      </c>
      <c r="D1010" s="1" t="str">
        <f>"NJ"</f>
        <v>NJ</v>
      </c>
      <c r="E1010" s="2">
        <v>0</v>
      </c>
      <c r="F1010" s="2">
        <v>0</v>
      </c>
      <c r="G1010" s="2">
        <v>1</v>
      </c>
      <c r="H1010" s="2">
        <v>1</v>
      </c>
    </row>
    <row r="1011" spans="1:8" x14ac:dyDescent="0.25">
      <c r="A1011" s="1" t="str">
        <f>"01843"</f>
        <v>01843</v>
      </c>
      <c r="B1011" s="1" t="str">
        <f>"15764"</f>
        <v>15764</v>
      </c>
      <c r="C1011" s="1" t="str">
        <f>"LAWRENCE"</f>
        <v>LAWRENCE</v>
      </c>
      <c r="D1011" s="1" t="str">
        <f t="shared" ref="D1011:D1017" si="71">"MA"</f>
        <v>MA</v>
      </c>
      <c r="E1011" s="2">
        <v>1</v>
      </c>
      <c r="F1011" s="2">
        <v>1</v>
      </c>
      <c r="G1011" s="2">
        <v>1</v>
      </c>
      <c r="H1011" s="2">
        <v>1</v>
      </c>
    </row>
    <row r="1012" spans="1:8" x14ac:dyDescent="0.25">
      <c r="A1012" s="1" t="str">
        <f>"01906"</f>
        <v>01906</v>
      </c>
      <c r="B1012" s="1" t="str">
        <f>"14454"</f>
        <v>14454</v>
      </c>
      <c r="C1012" s="1" t="str">
        <f>"SAUGUS"</f>
        <v>SAUGUS</v>
      </c>
      <c r="D1012" s="1" t="str">
        <f t="shared" si="71"/>
        <v>MA</v>
      </c>
      <c r="E1012" s="2">
        <v>8.4509422800642194E-5</v>
      </c>
      <c r="F1012" s="2">
        <v>0</v>
      </c>
      <c r="G1012" s="2">
        <v>0</v>
      </c>
      <c r="H1012" s="2">
        <v>7.4599030212607205E-5</v>
      </c>
    </row>
    <row r="1013" spans="1:8" x14ac:dyDescent="0.25">
      <c r="A1013" s="1" t="str">
        <f>"01906"</f>
        <v>01906</v>
      </c>
      <c r="B1013" s="1" t="str">
        <f>"15764"</f>
        <v>15764</v>
      </c>
      <c r="C1013" s="1" t="str">
        <f>"SAUGUS"</f>
        <v>SAUGUS</v>
      </c>
      <c r="D1013" s="1" t="str">
        <f t="shared" si="71"/>
        <v>MA</v>
      </c>
      <c r="E1013" s="2">
        <v>0.99991549057719897</v>
      </c>
      <c r="F1013" s="2">
        <v>1</v>
      </c>
      <c r="G1013" s="2">
        <v>1</v>
      </c>
      <c r="H1013" s="2">
        <v>0.99992540096978699</v>
      </c>
    </row>
    <row r="1014" spans="1:8" x14ac:dyDescent="0.25">
      <c r="A1014" s="1" t="str">
        <f>"02035"</f>
        <v>02035</v>
      </c>
      <c r="B1014" s="1" t="str">
        <f>"14454"</f>
        <v>14454</v>
      </c>
      <c r="C1014" s="1" t="str">
        <f>"FOXBORO"</f>
        <v>FOXBORO</v>
      </c>
      <c r="D1014" s="1" t="str">
        <f t="shared" si="71"/>
        <v>MA</v>
      </c>
      <c r="E1014" s="2">
        <v>1</v>
      </c>
      <c r="F1014" s="2">
        <v>1</v>
      </c>
      <c r="G1014" s="2">
        <v>1</v>
      </c>
      <c r="H1014" s="2">
        <v>1</v>
      </c>
    </row>
    <row r="1015" spans="1:8" x14ac:dyDescent="0.25">
      <c r="A1015" s="1" t="str">
        <f>"02139"</f>
        <v>02139</v>
      </c>
      <c r="B1015" s="1" t="str">
        <f>"15764"</f>
        <v>15764</v>
      </c>
      <c r="C1015" s="1" t="str">
        <f>"CAMBRIDGE"</f>
        <v>CAMBRIDGE</v>
      </c>
      <c r="D1015" s="1" t="str">
        <f t="shared" si="71"/>
        <v>MA</v>
      </c>
      <c r="E1015" s="2">
        <v>1</v>
      </c>
      <c r="F1015" s="2">
        <v>1</v>
      </c>
      <c r="G1015" s="2">
        <v>1</v>
      </c>
      <c r="H1015" s="2">
        <v>1</v>
      </c>
    </row>
    <row r="1016" spans="1:8" x14ac:dyDescent="0.25">
      <c r="A1016" s="1" t="str">
        <f>"02446"</f>
        <v>02446</v>
      </c>
      <c r="B1016" s="1" t="str">
        <f>"14454"</f>
        <v>14454</v>
      </c>
      <c r="C1016" s="1" t="str">
        <f>"BROOKLINE"</f>
        <v>BROOKLINE</v>
      </c>
      <c r="D1016" s="1" t="str">
        <f t="shared" si="71"/>
        <v>MA</v>
      </c>
      <c r="E1016" s="2">
        <v>1</v>
      </c>
      <c r="F1016" s="2">
        <v>1</v>
      </c>
      <c r="G1016" s="2">
        <v>1</v>
      </c>
      <c r="H1016" s="2">
        <v>1</v>
      </c>
    </row>
    <row r="1017" spans="1:8" x14ac:dyDescent="0.25">
      <c r="A1017" s="1" t="str">
        <f>"02461"</f>
        <v>02461</v>
      </c>
      <c r="B1017" s="1" t="str">
        <f>"15764"</f>
        <v>15764</v>
      </c>
      <c r="C1017" s="1" t="str">
        <f>"NEWTON HIGHLANDS"</f>
        <v>NEWTON HIGHLANDS</v>
      </c>
      <c r="D1017" s="1" t="str">
        <f t="shared" si="71"/>
        <v>MA</v>
      </c>
      <c r="E1017" s="2">
        <v>1</v>
      </c>
      <c r="F1017" s="2">
        <v>1</v>
      </c>
      <c r="G1017" s="2">
        <v>1</v>
      </c>
      <c r="H1017" s="2">
        <v>1</v>
      </c>
    </row>
    <row r="1018" spans="1:8" x14ac:dyDescent="0.25">
      <c r="A1018" s="1" t="str">
        <f>"07013"</f>
        <v>07013</v>
      </c>
      <c r="B1018" s="1" t="str">
        <f>"35614"</f>
        <v>35614</v>
      </c>
      <c r="C1018" s="1" t="str">
        <f>"CLIFTON"</f>
        <v>CLIFTON</v>
      </c>
      <c r="D1018" s="1" t="str">
        <f t="shared" ref="D1018:D1035" si="72">"NJ"</f>
        <v>NJ</v>
      </c>
      <c r="E1018" s="2">
        <v>1</v>
      </c>
      <c r="F1018" s="2">
        <v>1</v>
      </c>
      <c r="G1018" s="2">
        <v>1</v>
      </c>
      <c r="H1018" s="2">
        <v>1</v>
      </c>
    </row>
    <row r="1019" spans="1:8" x14ac:dyDescent="0.25">
      <c r="A1019" s="1" t="str">
        <f>"07041"</f>
        <v>07041</v>
      </c>
      <c r="B1019" s="1" t="str">
        <f>"35084"</f>
        <v>35084</v>
      </c>
      <c r="C1019" s="1" t="str">
        <f>"MILLBURN"</f>
        <v>MILLBURN</v>
      </c>
      <c r="D1019" s="1" t="str">
        <f t="shared" si="72"/>
        <v>NJ</v>
      </c>
      <c r="E1019" s="2">
        <v>1</v>
      </c>
      <c r="F1019" s="2">
        <v>1</v>
      </c>
      <c r="G1019" s="2">
        <v>1</v>
      </c>
      <c r="H1019" s="2">
        <v>1</v>
      </c>
    </row>
    <row r="1020" spans="1:8" x14ac:dyDescent="0.25">
      <c r="A1020" s="1" t="str">
        <f>"07066"</f>
        <v>07066</v>
      </c>
      <c r="B1020" s="1" t="str">
        <f>"35084"</f>
        <v>35084</v>
      </c>
      <c r="C1020" s="1" t="str">
        <f>"CLARK"</f>
        <v>CLARK</v>
      </c>
      <c r="D1020" s="1" t="str">
        <f t="shared" si="72"/>
        <v>NJ</v>
      </c>
      <c r="E1020" s="2">
        <v>1</v>
      </c>
      <c r="F1020" s="2">
        <v>1</v>
      </c>
      <c r="G1020" s="2">
        <v>1</v>
      </c>
      <c r="H1020" s="2">
        <v>1</v>
      </c>
    </row>
    <row r="1021" spans="1:8" x14ac:dyDescent="0.25">
      <c r="A1021" s="1" t="str">
        <f>"07094"</f>
        <v>07094</v>
      </c>
      <c r="B1021" s="1" t="str">
        <f>"35614"</f>
        <v>35614</v>
      </c>
      <c r="C1021" s="1" t="str">
        <f>"SECAUCUS"</f>
        <v>SECAUCUS</v>
      </c>
      <c r="D1021" s="1" t="str">
        <f t="shared" si="72"/>
        <v>NJ</v>
      </c>
      <c r="E1021" s="2">
        <v>1</v>
      </c>
      <c r="F1021" s="2">
        <v>1</v>
      </c>
      <c r="G1021" s="2">
        <v>1</v>
      </c>
      <c r="H1021" s="2">
        <v>1</v>
      </c>
    </row>
    <row r="1022" spans="1:8" x14ac:dyDescent="0.25">
      <c r="A1022" s="1" t="str">
        <f>"07303"</f>
        <v>07303</v>
      </c>
      <c r="B1022" s="1" t="str">
        <f>"35614"</f>
        <v>35614</v>
      </c>
      <c r="C1022" s="1" t="str">
        <f>"JERSEY CITY"</f>
        <v>JERSEY CITY</v>
      </c>
      <c r="D1022" s="1" t="str">
        <f t="shared" si="72"/>
        <v>NJ</v>
      </c>
      <c r="E1022" s="2">
        <v>1</v>
      </c>
      <c r="F1022" s="2">
        <v>1</v>
      </c>
      <c r="G1022" s="2">
        <v>1</v>
      </c>
      <c r="H1022" s="2">
        <v>1</v>
      </c>
    </row>
    <row r="1023" spans="1:8" x14ac:dyDescent="0.25">
      <c r="A1023" s="1" t="str">
        <f>"07646"</f>
        <v>07646</v>
      </c>
      <c r="B1023" s="1" t="str">
        <f>"35614"</f>
        <v>35614</v>
      </c>
      <c r="C1023" s="1" t="str">
        <f>"NEW MILFORD"</f>
        <v>NEW MILFORD</v>
      </c>
      <c r="D1023" s="1" t="str">
        <f t="shared" si="72"/>
        <v>NJ</v>
      </c>
      <c r="E1023" s="2">
        <v>1</v>
      </c>
      <c r="F1023" s="2">
        <v>1</v>
      </c>
      <c r="G1023" s="2">
        <v>1</v>
      </c>
      <c r="H1023" s="2">
        <v>1</v>
      </c>
    </row>
    <row r="1024" spans="1:8" x14ac:dyDescent="0.25">
      <c r="A1024" s="1" t="str">
        <f>"07656"</f>
        <v>07656</v>
      </c>
      <c r="B1024" s="1" t="str">
        <f>"35614"</f>
        <v>35614</v>
      </c>
      <c r="C1024" s="1" t="str">
        <f>"PARK RIDGE"</f>
        <v>PARK RIDGE</v>
      </c>
      <c r="D1024" s="1" t="str">
        <f t="shared" si="72"/>
        <v>NJ</v>
      </c>
      <c r="E1024" s="2">
        <v>1</v>
      </c>
      <c r="F1024" s="2">
        <v>1</v>
      </c>
      <c r="G1024" s="2">
        <v>1</v>
      </c>
      <c r="H1024" s="2">
        <v>1</v>
      </c>
    </row>
    <row r="1025" spans="1:8" x14ac:dyDescent="0.25">
      <c r="A1025" s="1" t="str">
        <f>"07647"</f>
        <v>07647</v>
      </c>
      <c r="B1025" s="1" t="str">
        <f>"35614"</f>
        <v>35614</v>
      </c>
      <c r="C1025" s="1" t="str">
        <f>"NORTHVALE"</f>
        <v>NORTHVALE</v>
      </c>
      <c r="D1025" s="1" t="str">
        <f t="shared" si="72"/>
        <v>NJ</v>
      </c>
      <c r="E1025" s="2">
        <v>1</v>
      </c>
      <c r="F1025" s="2">
        <v>1</v>
      </c>
      <c r="G1025" s="2">
        <v>1</v>
      </c>
      <c r="H1025" s="2">
        <v>1</v>
      </c>
    </row>
    <row r="1026" spans="1:8" x14ac:dyDescent="0.25">
      <c r="A1026" s="1" t="str">
        <f>"07716"</f>
        <v>07716</v>
      </c>
      <c r="B1026" s="1" t="str">
        <f>"35154"</f>
        <v>35154</v>
      </c>
      <c r="C1026" s="1" t="str">
        <f>"ATLANTIC HIGHLANDS"</f>
        <v>ATLANTIC HIGHLANDS</v>
      </c>
      <c r="D1026" s="1" t="str">
        <f t="shared" si="72"/>
        <v>NJ</v>
      </c>
      <c r="E1026" s="2">
        <v>1</v>
      </c>
      <c r="F1026" s="2">
        <v>1</v>
      </c>
      <c r="G1026" s="2">
        <v>1</v>
      </c>
      <c r="H1026" s="2">
        <v>1</v>
      </c>
    </row>
    <row r="1027" spans="1:8" x14ac:dyDescent="0.25">
      <c r="A1027" s="1" t="str">
        <f>"07730"</f>
        <v>07730</v>
      </c>
      <c r="B1027" s="1" t="str">
        <f>"35154"</f>
        <v>35154</v>
      </c>
      <c r="C1027" s="1" t="str">
        <f>"HAZLET"</f>
        <v>HAZLET</v>
      </c>
      <c r="D1027" s="1" t="str">
        <f t="shared" si="72"/>
        <v>NJ</v>
      </c>
      <c r="E1027" s="2">
        <v>1</v>
      </c>
      <c r="F1027" s="2">
        <v>1</v>
      </c>
      <c r="G1027" s="2">
        <v>1</v>
      </c>
      <c r="H1027" s="2">
        <v>1</v>
      </c>
    </row>
    <row r="1028" spans="1:8" x14ac:dyDescent="0.25">
      <c r="A1028" s="1" t="str">
        <f>"07836"</f>
        <v>07836</v>
      </c>
      <c r="B1028" s="1" t="str">
        <f>"35084"</f>
        <v>35084</v>
      </c>
      <c r="C1028" s="1" t="str">
        <f>"FLANDERS"</f>
        <v>FLANDERS</v>
      </c>
      <c r="D1028" s="1" t="str">
        <f t="shared" si="72"/>
        <v>NJ</v>
      </c>
      <c r="E1028" s="2">
        <v>1</v>
      </c>
      <c r="F1028" s="2">
        <v>1</v>
      </c>
      <c r="G1028" s="2">
        <v>1</v>
      </c>
      <c r="H1028" s="2">
        <v>1</v>
      </c>
    </row>
    <row r="1029" spans="1:8" x14ac:dyDescent="0.25">
      <c r="A1029" s="1" t="str">
        <f>"07924"</f>
        <v>07924</v>
      </c>
      <c r="B1029" s="1" t="str">
        <f>"35084"</f>
        <v>35084</v>
      </c>
      <c r="C1029" s="1" t="str">
        <f>"BERNARDSVILLE"</f>
        <v>BERNARDSVILLE</v>
      </c>
      <c r="D1029" s="1" t="str">
        <f t="shared" si="72"/>
        <v>NJ</v>
      </c>
      <c r="E1029" s="2">
        <v>6.00240096038415E-4</v>
      </c>
      <c r="F1029" s="2">
        <v>0</v>
      </c>
      <c r="G1029" s="2">
        <v>0</v>
      </c>
      <c r="H1029" s="2">
        <v>4.5693397304089501E-4</v>
      </c>
    </row>
    <row r="1030" spans="1:8" x14ac:dyDescent="0.25">
      <c r="A1030" s="1" t="str">
        <f>"07924"</f>
        <v>07924</v>
      </c>
      <c r="B1030" s="1" t="str">
        <f>"35154"</f>
        <v>35154</v>
      </c>
      <c r="C1030" s="1" t="str">
        <f>"BERNARDSVILLE"</f>
        <v>BERNARDSVILLE</v>
      </c>
      <c r="D1030" s="1" t="str">
        <f t="shared" si="72"/>
        <v>NJ</v>
      </c>
      <c r="E1030" s="2">
        <v>0.99939975990396102</v>
      </c>
      <c r="F1030" s="2">
        <v>1</v>
      </c>
      <c r="G1030" s="2">
        <v>1</v>
      </c>
      <c r="H1030" s="2">
        <v>0.99954306602695897</v>
      </c>
    </row>
    <row r="1031" spans="1:8" x14ac:dyDescent="0.25">
      <c r="A1031" s="1" t="str">
        <f>"07921"</f>
        <v>07921</v>
      </c>
      <c r="B1031" s="1" t="str">
        <f>"35154"</f>
        <v>35154</v>
      </c>
      <c r="C1031" s="1" t="str">
        <f>"BEDMINSTER"</f>
        <v>BEDMINSTER</v>
      </c>
      <c r="D1031" s="1" t="str">
        <f t="shared" si="72"/>
        <v>NJ</v>
      </c>
      <c r="E1031" s="2">
        <v>1</v>
      </c>
      <c r="F1031" s="2">
        <v>1</v>
      </c>
      <c r="G1031" s="2">
        <v>1</v>
      </c>
      <c r="H1031" s="2">
        <v>1</v>
      </c>
    </row>
    <row r="1032" spans="1:8" x14ac:dyDescent="0.25">
      <c r="A1032" s="1" t="str">
        <f>"08037"</f>
        <v>08037</v>
      </c>
      <c r="B1032" s="1" t="str">
        <f>"15804"</f>
        <v>15804</v>
      </c>
      <c r="C1032" s="1" t="str">
        <f>"HAMMONTON"</f>
        <v>HAMMONTON</v>
      </c>
      <c r="D1032" s="1" t="str">
        <f t="shared" si="72"/>
        <v>NJ</v>
      </c>
      <c r="E1032" s="2">
        <v>1</v>
      </c>
      <c r="F1032" s="2">
        <v>1</v>
      </c>
      <c r="G1032" s="2">
        <v>1</v>
      </c>
      <c r="H1032" s="2">
        <v>1</v>
      </c>
    </row>
    <row r="1033" spans="1:8" x14ac:dyDescent="0.25">
      <c r="A1033" s="1" t="str">
        <f>"08053"</f>
        <v>08053</v>
      </c>
      <c r="B1033" s="1" t="str">
        <f>"15804"</f>
        <v>15804</v>
      </c>
      <c r="C1033" s="1" t="str">
        <f>"MARLTON"</f>
        <v>MARLTON</v>
      </c>
      <c r="D1033" s="1" t="str">
        <f t="shared" si="72"/>
        <v>NJ</v>
      </c>
      <c r="E1033" s="2">
        <v>1</v>
      </c>
      <c r="F1033" s="2">
        <v>1</v>
      </c>
      <c r="G1033" s="2">
        <v>1</v>
      </c>
      <c r="H1033" s="2">
        <v>1</v>
      </c>
    </row>
    <row r="1034" spans="1:8" x14ac:dyDescent="0.25">
      <c r="A1034" s="1" t="str">
        <f>"08753"</f>
        <v>08753</v>
      </c>
      <c r="B1034" s="1" t="str">
        <f>"35154"</f>
        <v>35154</v>
      </c>
      <c r="C1034" s="1" t="str">
        <f>"TOMS RIVER"</f>
        <v>TOMS RIVER</v>
      </c>
      <c r="D1034" s="1" t="str">
        <f t="shared" si="72"/>
        <v>NJ</v>
      </c>
      <c r="E1034" s="2">
        <v>1</v>
      </c>
      <c r="F1034" s="2">
        <v>1</v>
      </c>
      <c r="G1034" s="2">
        <v>1</v>
      </c>
      <c r="H1034" s="2">
        <v>1</v>
      </c>
    </row>
    <row r="1035" spans="1:8" x14ac:dyDescent="0.25">
      <c r="A1035" s="1" t="str">
        <f>"08852"</f>
        <v>08852</v>
      </c>
      <c r="B1035" s="1" t="str">
        <f>"35154"</f>
        <v>35154</v>
      </c>
      <c r="C1035" s="1" t="str">
        <f>"MONMOUTH JUNCTION"</f>
        <v>MONMOUTH JUNCTION</v>
      </c>
      <c r="D1035" s="1" t="str">
        <f t="shared" si="72"/>
        <v>NJ</v>
      </c>
      <c r="E1035" s="2">
        <v>1</v>
      </c>
      <c r="F1035" s="2">
        <v>1</v>
      </c>
      <c r="G1035" s="2">
        <v>1</v>
      </c>
      <c r="H1035" s="2">
        <v>1</v>
      </c>
    </row>
    <row r="1036" spans="1:8" x14ac:dyDescent="0.25">
      <c r="A1036" s="1" t="str">
        <f>"10007"</f>
        <v>10007</v>
      </c>
      <c r="B1036" s="1" t="str">
        <f t="shared" ref="B1036:B1043" si="73">"35614"</f>
        <v>35614</v>
      </c>
      <c r="C1036" s="1" t="str">
        <f>"NEW YORK"</f>
        <v>NEW YORK</v>
      </c>
      <c r="D1036" s="1" t="str">
        <f t="shared" ref="D1036:D1050" si="74">"NY"</f>
        <v>NY</v>
      </c>
      <c r="E1036" s="2">
        <v>1</v>
      </c>
      <c r="F1036" s="2">
        <v>1</v>
      </c>
      <c r="G1036" s="2">
        <v>1</v>
      </c>
      <c r="H1036" s="2">
        <v>1</v>
      </c>
    </row>
    <row r="1037" spans="1:8" x14ac:dyDescent="0.25">
      <c r="A1037" s="1" t="str">
        <f>"10040"</f>
        <v>10040</v>
      </c>
      <c r="B1037" s="1" t="str">
        <f t="shared" si="73"/>
        <v>35614</v>
      </c>
      <c r="C1037" s="1" t="str">
        <f>"NEW YORK"</f>
        <v>NEW YORK</v>
      </c>
      <c r="D1037" s="1" t="str">
        <f t="shared" si="74"/>
        <v>NY</v>
      </c>
      <c r="E1037" s="2">
        <v>1</v>
      </c>
      <c r="F1037" s="2">
        <v>1</v>
      </c>
      <c r="G1037" s="2">
        <v>1</v>
      </c>
      <c r="H1037" s="2">
        <v>1</v>
      </c>
    </row>
    <row r="1038" spans="1:8" x14ac:dyDescent="0.25">
      <c r="A1038" s="1" t="str">
        <f>"10116"</f>
        <v>10116</v>
      </c>
      <c r="B1038" s="1" t="str">
        <f t="shared" si="73"/>
        <v>35614</v>
      </c>
      <c r="C1038" s="1" t="str">
        <f>"NEW YORK"</f>
        <v>NEW YORK</v>
      </c>
      <c r="D1038" s="1" t="str">
        <f t="shared" si="74"/>
        <v>NY</v>
      </c>
      <c r="E1038" s="2">
        <v>1</v>
      </c>
      <c r="F1038" s="2">
        <v>1</v>
      </c>
      <c r="G1038" s="2">
        <v>1</v>
      </c>
      <c r="H1038" s="2">
        <v>1</v>
      </c>
    </row>
    <row r="1039" spans="1:8" x14ac:dyDescent="0.25">
      <c r="A1039" s="1" t="str">
        <f>"10310"</f>
        <v>10310</v>
      </c>
      <c r="B1039" s="1" t="str">
        <f t="shared" si="73"/>
        <v>35614</v>
      </c>
      <c r="C1039" s="1" t="str">
        <f>"STATEN ISLAND"</f>
        <v>STATEN ISLAND</v>
      </c>
      <c r="D1039" s="1" t="str">
        <f t="shared" si="74"/>
        <v>NY</v>
      </c>
      <c r="E1039" s="2">
        <v>1</v>
      </c>
      <c r="F1039" s="2">
        <v>1</v>
      </c>
      <c r="G1039" s="2">
        <v>1</v>
      </c>
      <c r="H1039" s="2">
        <v>1</v>
      </c>
    </row>
    <row r="1040" spans="1:8" x14ac:dyDescent="0.25">
      <c r="A1040" s="1" t="str">
        <f>"11207"</f>
        <v>11207</v>
      </c>
      <c r="B1040" s="1" t="str">
        <f t="shared" si="73"/>
        <v>35614</v>
      </c>
      <c r="C1040" s="1" t="str">
        <f>"BROOKLYN"</f>
        <v>BROOKLYN</v>
      </c>
      <c r="D1040" s="1" t="str">
        <f t="shared" si="74"/>
        <v>NY</v>
      </c>
      <c r="E1040" s="2">
        <v>1</v>
      </c>
      <c r="F1040" s="2">
        <v>1</v>
      </c>
      <c r="G1040" s="2">
        <v>1</v>
      </c>
      <c r="H1040" s="2">
        <v>1</v>
      </c>
    </row>
    <row r="1041" spans="1:8" x14ac:dyDescent="0.25">
      <c r="A1041" s="1" t="str">
        <f>"11215"</f>
        <v>11215</v>
      </c>
      <c r="B1041" s="1" t="str">
        <f t="shared" si="73"/>
        <v>35614</v>
      </c>
      <c r="C1041" s="1" t="str">
        <f>"BROOKLYN"</f>
        <v>BROOKLYN</v>
      </c>
      <c r="D1041" s="1" t="str">
        <f t="shared" si="74"/>
        <v>NY</v>
      </c>
      <c r="E1041" s="2">
        <v>1</v>
      </c>
      <c r="F1041" s="2">
        <v>1</v>
      </c>
      <c r="G1041" s="2">
        <v>1</v>
      </c>
      <c r="H1041" s="2">
        <v>1</v>
      </c>
    </row>
    <row r="1042" spans="1:8" x14ac:dyDescent="0.25">
      <c r="A1042" s="1" t="str">
        <f>"11433"</f>
        <v>11433</v>
      </c>
      <c r="B1042" s="1" t="str">
        <f t="shared" si="73"/>
        <v>35614</v>
      </c>
      <c r="C1042" s="1" t="str">
        <f>"JAMAICA"</f>
        <v>JAMAICA</v>
      </c>
      <c r="D1042" s="1" t="str">
        <f t="shared" si="74"/>
        <v>NY</v>
      </c>
      <c r="E1042" s="2">
        <v>1</v>
      </c>
      <c r="F1042" s="2">
        <v>1</v>
      </c>
      <c r="G1042" s="2">
        <v>1</v>
      </c>
      <c r="H1042" s="2">
        <v>1</v>
      </c>
    </row>
    <row r="1043" spans="1:8" x14ac:dyDescent="0.25">
      <c r="A1043" s="1" t="str">
        <f>"11419"</f>
        <v>11419</v>
      </c>
      <c r="B1043" s="1" t="str">
        <f t="shared" si="73"/>
        <v>35614</v>
      </c>
      <c r="C1043" s="1" t="str">
        <f>"SOUTH RICHMOND HILL"</f>
        <v>SOUTH RICHMOND HILL</v>
      </c>
      <c r="D1043" s="1" t="str">
        <f t="shared" si="74"/>
        <v>NY</v>
      </c>
      <c r="E1043" s="2">
        <v>1</v>
      </c>
      <c r="F1043" s="2">
        <v>1</v>
      </c>
      <c r="G1043" s="2">
        <v>1</v>
      </c>
      <c r="H1043" s="2">
        <v>1</v>
      </c>
    </row>
    <row r="1044" spans="1:8" x14ac:dyDescent="0.25">
      <c r="A1044" s="1" t="str">
        <f>"11754"</f>
        <v>11754</v>
      </c>
      <c r="B1044" s="1" t="str">
        <f>"35004"</f>
        <v>35004</v>
      </c>
      <c r="C1044" s="1" t="str">
        <f>"KINGS PARK"</f>
        <v>KINGS PARK</v>
      </c>
      <c r="D1044" s="1" t="str">
        <f t="shared" si="74"/>
        <v>NY</v>
      </c>
      <c r="E1044" s="2">
        <v>1</v>
      </c>
      <c r="F1044" s="2">
        <v>1</v>
      </c>
      <c r="G1044" s="2">
        <v>1</v>
      </c>
      <c r="H1044" s="2">
        <v>1</v>
      </c>
    </row>
    <row r="1045" spans="1:8" x14ac:dyDescent="0.25">
      <c r="A1045" s="1" t="str">
        <f>"11772"</f>
        <v>11772</v>
      </c>
      <c r="B1045" s="1" t="str">
        <f>"35004"</f>
        <v>35004</v>
      </c>
      <c r="C1045" s="1" t="str">
        <f>"PATCHOGUE"</f>
        <v>PATCHOGUE</v>
      </c>
      <c r="D1045" s="1" t="str">
        <f t="shared" si="74"/>
        <v>NY</v>
      </c>
      <c r="E1045" s="2">
        <v>1</v>
      </c>
      <c r="F1045" s="2">
        <v>1</v>
      </c>
      <c r="G1045" s="2">
        <v>1</v>
      </c>
      <c r="H1045" s="2">
        <v>1</v>
      </c>
    </row>
    <row r="1046" spans="1:8" x14ac:dyDescent="0.25">
      <c r="A1046" s="1" t="str">
        <f>"11766"</f>
        <v>11766</v>
      </c>
      <c r="B1046" s="1" t="str">
        <f>"35004"</f>
        <v>35004</v>
      </c>
      <c r="C1046" s="1" t="str">
        <f>"MOUNT SINAI"</f>
        <v>MOUNT SINAI</v>
      </c>
      <c r="D1046" s="1" t="str">
        <f t="shared" si="74"/>
        <v>NY</v>
      </c>
      <c r="E1046" s="2">
        <v>1</v>
      </c>
      <c r="F1046" s="2">
        <v>1</v>
      </c>
      <c r="G1046" s="2">
        <v>1</v>
      </c>
      <c r="H1046" s="2">
        <v>1</v>
      </c>
    </row>
    <row r="1047" spans="1:8" x14ac:dyDescent="0.25">
      <c r="A1047" s="1" t="str">
        <f>"10506"</f>
        <v>10506</v>
      </c>
      <c r="B1047" s="1" t="str">
        <f>"35614"</f>
        <v>35614</v>
      </c>
      <c r="C1047" s="1" t="str">
        <f>"BEDFORD"</f>
        <v>BEDFORD</v>
      </c>
      <c r="D1047" s="1" t="str">
        <f t="shared" si="74"/>
        <v>NY</v>
      </c>
      <c r="E1047" s="2">
        <v>1</v>
      </c>
      <c r="F1047" s="2">
        <v>1</v>
      </c>
      <c r="G1047" s="2">
        <v>1</v>
      </c>
      <c r="H1047" s="2">
        <v>1</v>
      </c>
    </row>
    <row r="1048" spans="1:8" x14ac:dyDescent="0.25">
      <c r="A1048" s="1" t="str">
        <f>"10606"</f>
        <v>10606</v>
      </c>
      <c r="B1048" s="1" t="str">
        <f>"35614"</f>
        <v>35614</v>
      </c>
      <c r="C1048" s="1" t="str">
        <f>"WHITE PLAINS"</f>
        <v>WHITE PLAINS</v>
      </c>
      <c r="D1048" s="1" t="str">
        <f t="shared" si="74"/>
        <v>NY</v>
      </c>
      <c r="E1048" s="2">
        <v>1</v>
      </c>
      <c r="F1048" s="2">
        <v>1</v>
      </c>
      <c r="G1048" s="2">
        <v>1</v>
      </c>
      <c r="H1048" s="2">
        <v>1</v>
      </c>
    </row>
    <row r="1049" spans="1:8" x14ac:dyDescent="0.25">
      <c r="A1049" s="1" t="str">
        <f>"10603"</f>
        <v>10603</v>
      </c>
      <c r="B1049" s="1" t="str">
        <f>"35614"</f>
        <v>35614</v>
      </c>
      <c r="C1049" s="1" t="str">
        <f>"WHITE PLAINS"</f>
        <v>WHITE PLAINS</v>
      </c>
      <c r="D1049" s="1" t="str">
        <f t="shared" si="74"/>
        <v>NY</v>
      </c>
      <c r="E1049" s="2">
        <v>1</v>
      </c>
      <c r="F1049" s="2">
        <v>1</v>
      </c>
      <c r="G1049" s="2">
        <v>1</v>
      </c>
      <c r="H1049" s="2">
        <v>1</v>
      </c>
    </row>
    <row r="1050" spans="1:8" x14ac:dyDescent="0.25">
      <c r="A1050" s="1" t="str">
        <f>"10579"</f>
        <v>10579</v>
      </c>
      <c r="B1050" s="1" t="str">
        <f>"35614"</f>
        <v>35614</v>
      </c>
      <c r="C1050" s="1" t="str">
        <f>"PUTNAM VALLEY"</f>
        <v>PUTNAM VALLEY</v>
      </c>
      <c r="D1050" s="1" t="str">
        <f t="shared" si="74"/>
        <v>NY</v>
      </c>
      <c r="E1050" s="2">
        <v>1</v>
      </c>
      <c r="F1050" s="2">
        <v>1</v>
      </c>
      <c r="G1050" s="2">
        <v>1</v>
      </c>
      <c r="H1050" s="2">
        <v>1</v>
      </c>
    </row>
    <row r="1051" spans="1:8" x14ac:dyDescent="0.25">
      <c r="A1051" s="1" t="str">
        <f>"18336"</f>
        <v>18336</v>
      </c>
      <c r="B1051" s="1" t="str">
        <f>"35084"</f>
        <v>35084</v>
      </c>
      <c r="C1051" s="1" t="str">
        <f>"MATAMORAS"</f>
        <v>MATAMORAS</v>
      </c>
      <c r="D1051" s="1" t="str">
        <f t="shared" ref="D1051:D1058" si="75">"PA"</f>
        <v>PA</v>
      </c>
      <c r="E1051" s="2">
        <v>1</v>
      </c>
      <c r="F1051" s="2">
        <v>1</v>
      </c>
      <c r="G1051" s="2">
        <v>1</v>
      </c>
      <c r="H1051" s="2">
        <v>1</v>
      </c>
    </row>
    <row r="1052" spans="1:8" x14ac:dyDescent="0.25">
      <c r="A1052" s="1" t="str">
        <f>"18960"</f>
        <v>18960</v>
      </c>
      <c r="B1052" s="1" t="str">
        <f>"33874"</f>
        <v>33874</v>
      </c>
      <c r="C1052" s="1" t="str">
        <f>"SELLERSVILLE"</f>
        <v>SELLERSVILLE</v>
      </c>
      <c r="D1052" s="1" t="str">
        <f t="shared" si="75"/>
        <v>PA</v>
      </c>
      <c r="E1052" s="2">
        <v>1</v>
      </c>
      <c r="F1052" s="2">
        <v>1</v>
      </c>
      <c r="G1052" s="2">
        <v>1</v>
      </c>
      <c r="H1052" s="2">
        <v>1</v>
      </c>
    </row>
    <row r="1053" spans="1:8" x14ac:dyDescent="0.25">
      <c r="A1053" s="1" t="str">
        <f>"19066"</f>
        <v>19066</v>
      </c>
      <c r="B1053" s="1" t="str">
        <f>"33874"</f>
        <v>33874</v>
      </c>
      <c r="C1053" s="1" t="str">
        <f>"MERION STATION"</f>
        <v>MERION STATION</v>
      </c>
      <c r="D1053" s="1" t="str">
        <f t="shared" si="75"/>
        <v>PA</v>
      </c>
      <c r="E1053" s="2">
        <v>1</v>
      </c>
      <c r="F1053" s="2">
        <v>1</v>
      </c>
      <c r="G1053" s="2">
        <v>1</v>
      </c>
      <c r="H1053" s="2">
        <v>1</v>
      </c>
    </row>
    <row r="1054" spans="1:8" x14ac:dyDescent="0.25">
      <c r="A1054" s="1" t="str">
        <f>"19120"</f>
        <v>19120</v>
      </c>
      <c r="B1054" s="1" t="str">
        <f>"37964"</f>
        <v>37964</v>
      </c>
      <c r="C1054" s="1" t="str">
        <f>"PHILADELPHIA"</f>
        <v>PHILADELPHIA</v>
      </c>
      <c r="D1054" s="1" t="str">
        <f t="shared" si="75"/>
        <v>PA</v>
      </c>
      <c r="E1054" s="2">
        <v>0.99937075257991403</v>
      </c>
      <c r="F1054" s="2">
        <v>0.99931082012405203</v>
      </c>
      <c r="G1054" s="2">
        <v>1</v>
      </c>
      <c r="H1054" s="2">
        <v>0.99938128383603997</v>
      </c>
    </row>
    <row r="1055" spans="1:8" x14ac:dyDescent="0.25">
      <c r="A1055" s="1" t="str">
        <f>"19120"</f>
        <v>19120</v>
      </c>
      <c r="B1055" s="1" t="str">
        <f>"33874"</f>
        <v>33874</v>
      </c>
      <c r="C1055" s="1" t="str">
        <f>"PHILADELPHIA"</f>
        <v>PHILADELPHIA</v>
      </c>
      <c r="D1055" s="1" t="str">
        <f t="shared" si="75"/>
        <v>PA</v>
      </c>
      <c r="E1055" s="2">
        <v>6.2924742008557699E-4</v>
      </c>
      <c r="F1055" s="2">
        <v>6.89179875947622E-4</v>
      </c>
      <c r="G1055" s="2">
        <v>0</v>
      </c>
      <c r="H1055" s="2">
        <v>6.1871616395978298E-4</v>
      </c>
    </row>
    <row r="1056" spans="1:8" x14ac:dyDescent="0.25">
      <c r="A1056" s="1" t="str">
        <f>"19139"</f>
        <v>19139</v>
      </c>
      <c r="B1056" s="1" t="str">
        <f>"37964"</f>
        <v>37964</v>
      </c>
      <c r="C1056" s="1" t="str">
        <f>"PHILADELPHIA"</f>
        <v>PHILADELPHIA</v>
      </c>
      <c r="D1056" s="1" t="str">
        <f t="shared" si="75"/>
        <v>PA</v>
      </c>
      <c r="E1056" s="2">
        <v>1</v>
      </c>
      <c r="F1056" s="2">
        <v>1</v>
      </c>
      <c r="G1056" s="2">
        <v>1</v>
      </c>
      <c r="H1056" s="2">
        <v>1</v>
      </c>
    </row>
    <row r="1057" spans="1:8" x14ac:dyDescent="0.25">
      <c r="A1057" s="1" t="str">
        <f>"19147"</f>
        <v>19147</v>
      </c>
      <c r="B1057" s="1" t="str">
        <f>"37964"</f>
        <v>37964</v>
      </c>
      <c r="C1057" s="1" t="str">
        <f>"PHILADELPHIA"</f>
        <v>PHILADELPHIA</v>
      </c>
      <c r="D1057" s="1" t="str">
        <f t="shared" si="75"/>
        <v>PA</v>
      </c>
      <c r="E1057" s="2">
        <v>1</v>
      </c>
      <c r="F1057" s="2">
        <v>1</v>
      </c>
      <c r="G1057" s="2">
        <v>1</v>
      </c>
      <c r="H1057" s="2">
        <v>1</v>
      </c>
    </row>
    <row r="1058" spans="1:8" x14ac:dyDescent="0.25">
      <c r="A1058" s="1" t="str">
        <f>"19311"</f>
        <v>19311</v>
      </c>
      <c r="B1058" s="1" t="str">
        <f>"33874"</f>
        <v>33874</v>
      </c>
      <c r="C1058" s="1" t="str">
        <f>"AVONDALE"</f>
        <v>AVONDALE</v>
      </c>
      <c r="D1058" s="1" t="str">
        <f t="shared" si="75"/>
        <v>PA</v>
      </c>
      <c r="E1058" s="2">
        <v>1</v>
      </c>
      <c r="F1058" s="2">
        <v>1</v>
      </c>
      <c r="G1058" s="2">
        <v>1</v>
      </c>
      <c r="H1058" s="2">
        <v>1</v>
      </c>
    </row>
    <row r="1059" spans="1:8" x14ac:dyDescent="0.25">
      <c r="A1059" s="1" t="str">
        <f>"20030"</f>
        <v>20030</v>
      </c>
      <c r="B1059" s="1" t="str">
        <f>"47894"</f>
        <v>47894</v>
      </c>
      <c r="C1059" s="1" t="str">
        <f>"WASHINGTON"</f>
        <v>WASHINGTON</v>
      </c>
      <c r="D1059" s="1" t="str">
        <f>"DC"</f>
        <v>DC</v>
      </c>
      <c r="E1059" s="2">
        <v>1</v>
      </c>
      <c r="F1059" s="2">
        <v>1</v>
      </c>
      <c r="G1059" s="2">
        <v>1</v>
      </c>
      <c r="H1059" s="2">
        <v>1</v>
      </c>
    </row>
    <row r="1060" spans="1:8" x14ac:dyDescent="0.25">
      <c r="A1060" s="1" t="str">
        <f>"20632"</f>
        <v>20632</v>
      </c>
      <c r="B1060" s="1" t="str">
        <f>"47894"</f>
        <v>47894</v>
      </c>
      <c r="C1060" s="1" t="str">
        <f>"FAULKNER"</f>
        <v>FAULKNER</v>
      </c>
      <c r="D1060" s="1" t="str">
        <f>"MD"</f>
        <v>MD</v>
      </c>
      <c r="E1060" s="2">
        <v>1</v>
      </c>
      <c r="F1060" s="2">
        <v>1</v>
      </c>
      <c r="G1060" s="2">
        <v>1</v>
      </c>
      <c r="H1060" s="2">
        <v>1</v>
      </c>
    </row>
    <row r="1061" spans="1:8" x14ac:dyDescent="0.25">
      <c r="A1061" s="1" t="str">
        <f>"20707"</f>
        <v>20707</v>
      </c>
      <c r="B1061" s="1" t="str">
        <f>"47894"</f>
        <v>47894</v>
      </c>
      <c r="C1061" s="1" t="str">
        <f>"LAUREL"</f>
        <v>LAUREL</v>
      </c>
      <c r="D1061" s="1" t="str">
        <f>"MD"</f>
        <v>MD</v>
      </c>
      <c r="E1061" s="2">
        <v>0.99597610047555096</v>
      </c>
      <c r="F1061" s="2">
        <v>0.99949672873678896</v>
      </c>
      <c r="G1061" s="2">
        <v>1</v>
      </c>
      <c r="H1061" s="2">
        <v>0.99661957618567099</v>
      </c>
    </row>
    <row r="1062" spans="1:8" x14ac:dyDescent="0.25">
      <c r="A1062" s="1" t="str">
        <f>"20707"</f>
        <v>20707</v>
      </c>
      <c r="B1062" s="1" t="str">
        <f>"23224"</f>
        <v>23224</v>
      </c>
      <c r="C1062" s="1" t="str">
        <f>"LAUREL"</f>
        <v>LAUREL</v>
      </c>
      <c r="D1062" s="1" t="str">
        <f>"MD"</f>
        <v>MD</v>
      </c>
      <c r="E1062" s="2">
        <v>4.0238995244482297E-3</v>
      </c>
      <c r="F1062" s="2">
        <v>5.0327126321087E-4</v>
      </c>
      <c r="G1062" s="2">
        <v>0</v>
      </c>
      <c r="H1062" s="2">
        <v>3.3804238143289602E-3</v>
      </c>
    </row>
    <row r="1063" spans="1:8" x14ac:dyDescent="0.25">
      <c r="A1063" s="1" t="str">
        <f>"21777"</f>
        <v>21777</v>
      </c>
      <c r="B1063" s="1" t="str">
        <f>"23224"</f>
        <v>23224</v>
      </c>
      <c r="C1063" s="1" t="str">
        <f>"POINT OF ROCKS"</f>
        <v>POINT OF ROCKS</v>
      </c>
      <c r="D1063" s="1" t="str">
        <f>"MD"</f>
        <v>MD</v>
      </c>
      <c r="E1063" s="2">
        <v>1</v>
      </c>
      <c r="F1063" s="2">
        <v>1</v>
      </c>
      <c r="G1063" s="2">
        <v>1</v>
      </c>
      <c r="H1063" s="2">
        <v>1</v>
      </c>
    </row>
    <row r="1064" spans="1:8" x14ac:dyDescent="0.25">
      <c r="A1064" s="1" t="str">
        <f>"20151"</f>
        <v>20151</v>
      </c>
      <c r="B1064" s="1" t="str">
        <f>"47894"</f>
        <v>47894</v>
      </c>
      <c r="C1064" s="1" t="str">
        <f>"CHANTILLY"</f>
        <v>CHANTILLY</v>
      </c>
      <c r="D1064" s="1" t="str">
        <f>"VA"</f>
        <v>VA</v>
      </c>
      <c r="E1064" s="2">
        <v>1</v>
      </c>
      <c r="F1064" s="2">
        <v>1</v>
      </c>
      <c r="G1064" s="2">
        <v>1</v>
      </c>
      <c r="H1064" s="2">
        <v>1</v>
      </c>
    </row>
    <row r="1065" spans="1:8" x14ac:dyDescent="0.25">
      <c r="A1065" s="1" t="str">
        <f>"22209"</f>
        <v>22209</v>
      </c>
      <c r="B1065" s="1" t="str">
        <f>"47894"</f>
        <v>47894</v>
      </c>
      <c r="C1065" s="1" t="str">
        <f>"ARLINGTON"</f>
        <v>ARLINGTON</v>
      </c>
      <c r="D1065" s="1" t="str">
        <f>"VA"</f>
        <v>VA</v>
      </c>
      <c r="E1065" s="2">
        <v>1</v>
      </c>
      <c r="F1065" s="2">
        <v>1</v>
      </c>
      <c r="G1065" s="2">
        <v>1</v>
      </c>
      <c r="H1065" s="2">
        <v>1</v>
      </c>
    </row>
    <row r="1066" spans="1:8" x14ac:dyDescent="0.25">
      <c r="A1066" s="1" t="str">
        <f>"33013"</f>
        <v>33013</v>
      </c>
      <c r="B1066" s="1" t="str">
        <f>"33124"</f>
        <v>33124</v>
      </c>
      <c r="C1066" s="1" t="str">
        <f>"HIALEAH"</f>
        <v>HIALEAH</v>
      </c>
      <c r="D1066" s="1" t="str">
        <f t="shared" ref="D1066:D1073" si="76">"FL"</f>
        <v>FL</v>
      </c>
      <c r="E1066" s="2">
        <v>1</v>
      </c>
      <c r="F1066" s="2">
        <v>1</v>
      </c>
      <c r="G1066" s="2">
        <v>1</v>
      </c>
      <c r="H1066" s="2">
        <v>1</v>
      </c>
    </row>
    <row r="1067" spans="1:8" x14ac:dyDescent="0.25">
      <c r="A1067" s="1" t="str">
        <f>"33326"</f>
        <v>33326</v>
      </c>
      <c r="B1067" s="1" t="str">
        <f>"22744"</f>
        <v>22744</v>
      </c>
      <c r="C1067" s="1" t="str">
        <f>"FORT LAUDERDALE"</f>
        <v>FORT LAUDERDALE</v>
      </c>
      <c r="D1067" s="1" t="str">
        <f t="shared" si="76"/>
        <v>FL</v>
      </c>
      <c r="E1067" s="2">
        <v>1</v>
      </c>
      <c r="F1067" s="2">
        <v>1</v>
      </c>
      <c r="G1067" s="2">
        <v>1</v>
      </c>
      <c r="H1067" s="2">
        <v>1</v>
      </c>
    </row>
    <row r="1068" spans="1:8" x14ac:dyDescent="0.25">
      <c r="A1068" s="1" t="str">
        <f>"33339"</f>
        <v>33339</v>
      </c>
      <c r="B1068" s="1" t="str">
        <f>"22744"</f>
        <v>22744</v>
      </c>
      <c r="C1068" s="1" t="str">
        <f>"FORT LAUDERDALE"</f>
        <v>FORT LAUDERDALE</v>
      </c>
      <c r="D1068" s="1" t="str">
        <f t="shared" si="76"/>
        <v>FL</v>
      </c>
      <c r="E1068" s="2">
        <v>1</v>
      </c>
      <c r="F1068" s="2">
        <v>1</v>
      </c>
      <c r="G1068" s="2">
        <v>1</v>
      </c>
      <c r="H1068" s="2">
        <v>1</v>
      </c>
    </row>
    <row r="1069" spans="1:8" x14ac:dyDescent="0.25">
      <c r="A1069" s="1" t="str">
        <f>"33460"</f>
        <v>33460</v>
      </c>
      <c r="B1069" s="1" t="str">
        <f>"48424"</f>
        <v>48424</v>
      </c>
      <c r="C1069" s="1" t="str">
        <f>"LAKE WORTH BEACH"</f>
        <v>LAKE WORTH BEACH</v>
      </c>
      <c r="D1069" s="1" t="str">
        <f t="shared" si="76"/>
        <v>FL</v>
      </c>
      <c r="E1069" s="2">
        <v>1</v>
      </c>
      <c r="F1069" s="2">
        <v>1</v>
      </c>
      <c r="G1069" s="2">
        <v>1</v>
      </c>
      <c r="H1069" s="2">
        <v>1</v>
      </c>
    </row>
    <row r="1070" spans="1:8" x14ac:dyDescent="0.25">
      <c r="A1070" s="1" t="str">
        <f>"33480"</f>
        <v>33480</v>
      </c>
      <c r="B1070" s="1" t="str">
        <f>"48424"</f>
        <v>48424</v>
      </c>
      <c r="C1070" s="1" t="str">
        <f>"PALM BEACH"</f>
        <v>PALM BEACH</v>
      </c>
      <c r="D1070" s="1" t="str">
        <f t="shared" si="76"/>
        <v>FL</v>
      </c>
      <c r="E1070" s="2">
        <v>1</v>
      </c>
      <c r="F1070" s="2">
        <v>1</v>
      </c>
      <c r="G1070" s="2">
        <v>1</v>
      </c>
      <c r="H1070" s="2">
        <v>1</v>
      </c>
    </row>
    <row r="1071" spans="1:8" x14ac:dyDescent="0.25">
      <c r="A1071" s="1" t="str">
        <f>"33481"</f>
        <v>33481</v>
      </c>
      <c r="B1071" s="1" t="str">
        <f>"48424"</f>
        <v>48424</v>
      </c>
      <c r="C1071" s="1" t="str">
        <f>"BOCA RATON"</f>
        <v>BOCA RATON</v>
      </c>
      <c r="D1071" s="1" t="str">
        <f t="shared" si="76"/>
        <v>FL</v>
      </c>
      <c r="E1071" s="2">
        <v>1</v>
      </c>
      <c r="F1071" s="2">
        <v>1</v>
      </c>
      <c r="G1071" s="2">
        <v>1</v>
      </c>
      <c r="H1071" s="2">
        <v>1</v>
      </c>
    </row>
    <row r="1072" spans="1:8" x14ac:dyDescent="0.25">
      <c r="A1072" s="1" t="str">
        <f>"33309"</f>
        <v>33309</v>
      </c>
      <c r="B1072" s="1" t="str">
        <f>"22744"</f>
        <v>22744</v>
      </c>
      <c r="C1072" s="1" t="str">
        <f>"FORT LAUDERDALE"</f>
        <v>FORT LAUDERDALE</v>
      </c>
      <c r="D1072" s="1" t="str">
        <f t="shared" si="76"/>
        <v>FL</v>
      </c>
      <c r="E1072" s="2">
        <v>1</v>
      </c>
      <c r="F1072" s="2">
        <v>1</v>
      </c>
      <c r="G1072" s="2">
        <v>1</v>
      </c>
      <c r="H1072" s="2">
        <v>1</v>
      </c>
    </row>
    <row r="1073" spans="1:8" x14ac:dyDescent="0.25">
      <c r="A1073" s="1" t="str">
        <f>"33317"</f>
        <v>33317</v>
      </c>
      <c r="B1073" s="1" t="str">
        <f>"22744"</f>
        <v>22744</v>
      </c>
      <c r="C1073" s="1" t="str">
        <f>"FORT LAUDERDALE"</f>
        <v>FORT LAUDERDALE</v>
      </c>
      <c r="D1073" s="1" t="str">
        <f t="shared" si="76"/>
        <v>FL</v>
      </c>
      <c r="E1073" s="2">
        <v>1</v>
      </c>
      <c r="F1073" s="2">
        <v>1</v>
      </c>
      <c r="G1073" s="2">
        <v>1</v>
      </c>
      <c r="H1073" s="2">
        <v>1</v>
      </c>
    </row>
    <row r="1074" spans="1:8" x14ac:dyDescent="0.25">
      <c r="A1074" s="1" t="str">
        <f>"46384"</f>
        <v>46384</v>
      </c>
      <c r="B1074" s="1" t="str">
        <f>"23844"</f>
        <v>23844</v>
      </c>
      <c r="C1074" s="1" t="str">
        <f>"VALPARAISO"</f>
        <v>VALPARAISO</v>
      </c>
      <c r="D1074" s="1" t="str">
        <f>"IN"</f>
        <v>IN</v>
      </c>
      <c r="E1074" s="2">
        <v>1</v>
      </c>
      <c r="F1074" s="2">
        <v>1</v>
      </c>
      <c r="G1074" s="2">
        <v>1</v>
      </c>
      <c r="H1074" s="2">
        <v>1</v>
      </c>
    </row>
    <row r="1075" spans="1:8" x14ac:dyDescent="0.25">
      <c r="A1075" s="1" t="str">
        <f>"48040"</f>
        <v>48040</v>
      </c>
      <c r="B1075" s="1" t="str">
        <f>"47664"</f>
        <v>47664</v>
      </c>
      <c r="C1075" s="1" t="str">
        <f>"MARYSVILLE"</f>
        <v>MARYSVILLE</v>
      </c>
      <c r="D1075" s="1" t="str">
        <f t="shared" ref="D1075:D1085" si="77">"MI"</f>
        <v>MI</v>
      </c>
      <c r="E1075" s="2">
        <v>1</v>
      </c>
      <c r="F1075" s="2">
        <v>1</v>
      </c>
      <c r="G1075" s="2">
        <v>1</v>
      </c>
      <c r="H1075" s="2">
        <v>1</v>
      </c>
    </row>
    <row r="1076" spans="1:8" x14ac:dyDescent="0.25">
      <c r="A1076" s="1" t="str">
        <f>"48006"</f>
        <v>48006</v>
      </c>
      <c r="B1076" s="1" t="str">
        <f>"47664"</f>
        <v>47664</v>
      </c>
      <c r="C1076" s="1" t="str">
        <f>"AVOCA"</f>
        <v>AVOCA</v>
      </c>
      <c r="D1076" s="1" t="str">
        <f t="shared" si="77"/>
        <v>MI</v>
      </c>
      <c r="E1076" s="2">
        <v>1</v>
      </c>
      <c r="F1076" s="2">
        <v>1</v>
      </c>
      <c r="G1076" s="2">
        <v>1</v>
      </c>
      <c r="H1076" s="2">
        <v>1</v>
      </c>
    </row>
    <row r="1077" spans="1:8" x14ac:dyDescent="0.25">
      <c r="A1077" s="1" t="str">
        <f>"48015"</f>
        <v>48015</v>
      </c>
      <c r="B1077" s="1" t="str">
        <f>"47664"</f>
        <v>47664</v>
      </c>
      <c r="C1077" s="1" t="str">
        <f>"CENTER LINE"</f>
        <v>CENTER LINE</v>
      </c>
      <c r="D1077" s="1" t="str">
        <f t="shared" si="77"/>
        <v>MI</v>
      </c>
      <c r="E1077" s="2">
        <v>1</v>
      </c>
      <c r="F1077" s="2">
        <v>1</v>
      </c>
      <c r="G1077" s="2">
        <v>1</v>
      </c>
      <c r="H1077" s="2">
        <v>1</v>
      </c>
    </row>
    <row r="1078" spans="1:8" x14ac:dyDescent="0.25">
      <c r="A1078" s="1" t="str">
        <f>"48083"</f>
        <v>48083</v>
      </c>
      <c r="B1078" s="1" t="str">
        <f>"47664"</f>
        <v>47664</v>
      </c>
      <c r="C1078" s="1" t="str">
        <f>"TROY"</f>
        <v>TROY</v>
      </c>
      <c r="D1078" s="1" t="str">
        <f t="shared" si="77"/>
        <v>MI</v>
      </c>
      <c r="E1078" s="2">
        <v>1</v>
      </c>
      <c r="F1078" s="2">
        <v>1</v>
      </c>
      <c r="G1078" s="2">
        <v>1</v>
      </c>
      <c r="H1078" s="2">
        <v>1</v>
      </c>
    </row>
    <row r="1079" spans="1:8" x14ac:dyDescent="0.25">
      <c r="A1079" s="1" t="str">
        <f>"48235"</f>
        <v>48235</v>
      </c>
      <c r="B1079" s="1" t="str">
        <f>"19804"</f>
        <v>19804</v>
      </c>
      <c r="C1079" s="1" t="str">
        <f>"DETROIT"</f>
        <v>DETROIT</v>
      </c>
      <c r="D1079" s="1" t="str">
        <f t="shared" si="77"/>
        <v>MI</v>
      </c>
      <c r="E1079" s="2">
        <v>1</v>
      </c>
      <c r="F1079" s="2">
        <v>1</v>
      </c>
      <c r="G1079" s="2">
        <v>1</v>
      </c>
      <c r="H1079" s="2">
        <v>1</v>
      </c>
    </row>
    <row r="1080" spans="1:8" x14ac:dyDescent="0.25">
      <c r="A1080" s="1" t="str">
        <f>"48167"</f>
        <v>48167</v>
      </c>
      <c r="B1080" s="1" t="str">
        <f>"47664"</f>
        <v>47664</v>
      </c>
      <c r="C1080" s="1" t="str">
        <f>"NORTHVILLE"</f>
        <v>NORTHVILLE</v>
      </c>
      <c r="D1080" s="1" t="str">
        <f t="shared" si="77"/>
        <v>MI</v>
      </c>
      <c r="E1080" s="2">
        <v>0.49358736059479502</v>
      </c>
      <c r="F1080" s="2">
        <v>0.132111861137897</v>
      </c>
      <c r="G1080" s="2">
        <v>0.35611510791366902</v>
      </c>
      <c r="H1080" s="2">
        <v>0.45705496640492099</v>
      </c>
    </row>
    <row r="1081" spans="1:8" x14ac:dyDescent="0.25">
      <c r="A1081" s="1" t="str">
        <f>"48167"</f>
        <v>48167</v>
      </c>
      <c r="B1081" s="1" t="str">
        <f>"19804"</f>
        <v>19804</v>
      </c>
      <c r="C1081" s="1" t="str">
        <f>"NORTHVILLE"</f>
        <v>NORTHVILLE</v>
      </c>
      <c r="D1081" s="1" t="str">
        <f t="shared" si="77"/>
        <v>MI</v>
      </c>
      <c r="E1081" s="2">
        <v>0.50641263940520398</v>
      </c>
      <c r="F1081" s="2">
        <v>0.86788813886210203</v>
      </c>
      <c r="G1081" s="2">
        <v>0.64388489208633004</v>
      </c>
      <c r="H1081" s="2">
        <v>0.54294503359507795</v>
      </c>
    </row>
    <row r="1082" spans="1:8" x14ac:dyDescent="0.25">
      <c r="A1082" s="1" t="str">
        <f>"48137"</f>
        <v>48137</v>
      </c>
      <c r="B1082" s="1" t="str">
        <f>"47664"</f>
        <v>47664</v>
      </c>
      <c r="C1082" s="1" t="str">
        <f>"GREGORY"</f>
        <v>GREGORY</v>
      </c>
      <c r="D1082" s="1" t="str">
        <f t="shared" si="77"/>
        <v>MI</v>
      </c>
      <c r="E1082" s="2">
        <v>1</v>
      </c>
      <c r="F1082" s="2">
        <v>1</v>
      </c>
      <c r="G1082" s="2">
        <v>1</v>
      </c>
      <c r="H1082" s="2">
        <v>1</v>
      </c>
    </row>
    <row r="1083" spans="1:8" x14ac:dyDescent="0.25">
      <c r="A1083" s="1" t="str">
        <f>"48114"</f>
        <v>48114</v>
      </c>
      <c r="B1083" s="1" t="str">
        <f>"47664"</f>
        <v>47664</v>
      </c>
      <c r="C1083" s="1" t="str">
        <f>"BRIGHTON"</f>
        <v>BRIGHTON</v>
      </c>
      <c r="D1083" s="1" t="str">
        <f t="shared" si="77"/>
        <v>MI</v>
      </c>
      <c r="E1083" s="2">
        <v>1</v>
      </c>
      <c r="F1083" s="2">
        <v>1</v>
      </c>
      <c r="G1083" s="2">
        <v>1</v>
      </c>
      <c r="H1083" s="2">
        <v>1</v>
      </c>
    </row>
    <row r="1084" spans="1:8" x14ac:dyDescent="0.25">
      <c r="A1084" s="1" t="str">
        <f>"48390"</f>
        <v>48390</v>
      </c>
      <c r="B1084" s="1" t="str">
        <f>"47664"</f>
        <v>47664</v>
      </c>
      <c r="C1084" s="1" t="str">
        <f>"WALLED LAKE"</f>
        <v>WALLED LAKE</v>
      </c>
      <c r="D1084" s="1" t="str">
        <f t="shared" si="77"/>
        <v>MI</v>
      </c>
      <c r="E1084" s="2">
        <v>1</v>
      </c>
      <c r="F1084" s="2">
        <v>1</v>
      </c>
      <c r="G1084" s="2">
        <v>1</v>
      </c>
      <c r="H1084" s="2">
        <v>1</v>
      </c>
    </row>
    <row r="1085" spans="1:8" x14ac:dyDescent="0.25">
      <c r="A1085" s="1" t="str">
        <f>"48201"</f>
        <v>48201</v>
      </c>
      <c r="B1085" s="1" t="str">
        <f>"19804"</f>
        <v>19804</v>
      </c>
      <c r="C1085" s="1" t="str">
        <f>"DETROIT"</f>
        <v>DETROIT</v>
      </c>
      <c r="D1085" s="1" t="str">
        <f t="shared" si="77"/>
        <v>MI</v>
      </c>
      <c r="E1085" s="2">
        <v>1</v>
      </c>
      <c r="F1085" s="2">
        <v>1</v>
      </c>
      <c r="G1085" s="2">
        <v>1</v>
      </c>
      <c r="H1085" s="2">
        <v>1</v>
      </c>
    </row>
    <row r="1086" spans="1:8" x14ac:dyDescent="0.25">
      <c r="A1086" s="1" t="str">
        <f>"60443"</f>
        <v>60443</v>
      </c>
      <c r="B1086" s="1" t="str">
        <f>"16984"</f>
        <v>16984</v>
      </c>
      <c r="C1086" s="1" t="str">
        <f>"MATTESON"</f>
        <v>MATTESON</v>
      </c>
      <c r="D1086" s="1" t="str">
        <f t="shared" ref="D1086:D1102" si="78">"IL"</f>
        <v>IL</v>
      </c>
      <c r="E1086" s="2">
        <v>1</v>
      </c>
      <c r="F1086" s="2">
        <v>1</v>
      </c>
      <c r="G1086" s="2">
        <v>1</v>
      </c>
      <c r="H1086" s="2">
        <v>1</v>
      </c>
    </row>
    <row r="1087" spans="1:8" x14ac:dyDescent="0.25">
      <c r="A1087" s="1" t="str">
        <f>"60439"</f>
        <v>60439</v>
      </c>
      <c r="B1087" s="1" t="str">
        <f>"16984"</f>
        <v>16984</v>
      </c>
      <c r="C1087" s="1" t="str">
        <f>"LEMONT"</f>
        <v>LEMONT</v>
      </c>
      <c r="D1087" s="1" t="str">
        <f t="shared" si="78"/>
        <v>IL</v>
      </c>
      <c r="E1087" s="2">
        <v>1</v>
      </c>
      <c r="F1087" s="2">
        <v>1</v>
      </c>
      <c r="G1087" s="2">
        <v>1</v>
      </c>
      <c r="H1087" s="2">
        <v>1</v>
      </c>
    </row>
    <row r="1088" spans="1:8" x14ac:dyDescent="0.25">
      <c r="A1088" s="1" t="str">
        <f>"60490"</f>
        <v>60490</v>
      </c>
      <c r="B1088" s="1" t="str">
        <f>"16984"</f>
        <v>16984</v>
      </c>
      <c r="C1088" s="1" t="str">
        <f>"BOLINGBROOK"</f>
        <v>BOLINGBROOK</v>
      </c>
      <c r="D1088" s="1" t="str">
        <f t="shared" si="78"/>
        <v>IL</v>
      </c>
      <c r="E1088" s="2">
        <v>1</v>
      </c>
      <c r="F1088" s="2">
        <v>1</v>
      </c>
      <c r="G1088" s="2">
        <v>1</v>
      </c>
      <c r="H1088" s="2">
        <v>1</v>
      </c>
    </row>
    <row r="1089" spans="1:8" x14ac:dyDescent="0.25">
      <c r="A1089" s="1" t="str">
        <f>"60585"</f>
        <v>60585</v>
      </c>
      <c r="B1089" s="1" t="str">
        <f>"20994"</f>
        <v>20994</v>
      </c>
      <c r="C1089" s="1" t="str">
        <f>"PLAINFIELD"</f>
        <v>PLAINFIELD</v>
      </c>
      <c r="D1089" s="1" t="str">
        <f t="shared" si="78"/>
        <v>IL</v>
      </c>
      <c r="E1089" s="2">
        <v>0.152036199095022</v>
      </c>
      <c r="F1089" s="2">
        <v>8.2389289392378901E-3</v>
      </c>
      <c r="G1089" s="2">
        <v>0.11076923076923</v>
      </c>
      <c r="H1089" s="2">
        <v>0.13693764798737099</v>
      </c>
    </row>
    <row r="1090" spans="1:8" x14ac:dyDescent="0.25">
      <c r="A1090" s="1" t="str">
        <f>"60585"</f>
        <v>60585</v>
      </c>
      <c r="B1090" s="1" t="str">
        <f>"16984"</f>
        <v>16984</v>
      </c>
      <c r="C1090" s="1" t="str">
        <f>"PLAINFIELD"</f>
        <v>PLAINFIELD</v>
      </c>
      <c r="D1090" s="1" t="str">
        <f t="shared" si="78"/>
        <v>IL</v>
      </c>
      <c r="E1090" s="2">
        <v>0.84796380090497703</v>
      </c>
      <c r="F1090" s="2">
        <v>0.99176107106076195</v>
      </c>
      <c r="G1090" s="2">
        <v>0.88923076923076905</v>
      </c>
      <c r="H1090" s="2">
        <v>0.86306235201262804</v>
      </c>
    </row>
    <row r="1091" spans="1:8" x14ac:dyDescent="0.25">
      <c r="A1091" s="1" t="str">
        <f>"60543"</f>
        <v>60543</v>
      </c>
      <c r="B1091" s="1" t="str">
        <f>"16984"</f>
        <v>16984</v>
      </c>
      <c r="C1091" s="1" t="str">
        <f>"OSWEGO"</f>
        <v>OSWEGO</v>
      </c>
      <c r="D1091" s="1" t="str">
        <f t="shared" si="78"/>
        <v>IL</v>
      </c>
      <c r="E1091" s="2">
        <v>3.1357792411414198E-4</v>
      </c>
      <c r="F1091" s="2">
        <v>0</v>
      </c>
      <c r="G1091" s="2">
        <v>0</v>
      </c>
      <c r="H1091" s="2">
        <v>2.8494899413005002E-4</v>
      </c>
    </row>
    <row r="1092" spans="1:8" x14ac:dyDescent="0.25">
      <c r="A1092" s="1" t="str">
        <f>"60543"</f>
        <v>60543</v>
      </c>
      <c r="B1092" s="1" t="str">
        <f>"20994"</f>
        <v>20994</v>
      </c>
      <c r="C1092" s="1" t="str">
        <f>"OSWEGO"</f>
        <v>OSWEGO</v>
      </c>
      <c r="D1092" s="1" t="str">
        <f t="shared" si="78"/>
        <v>IL</v>
      </c>
      <c r="E1092" s="2">
        <v>0.99968642207588498</v>
      </c>
      <c r="F1092" s="2">
        <v>1</v>
      </c>
      <c r="G1092" s="2">
        <v>1</v>
      </c>
      <c r="H1092" s="2">
        <v>0.99971505100586899</v>
      </c>
    </row>
    <row r="1093" spans="1:8" x14ac:dyDescent="0.25">
      <c r="A1093" s="1" t="str">
        <f>"60541"</f>
        <v>60541</v>
      </c>
      <c r="B1093" s="1" t="str">
        <f>"16984"</f>
        <v>16984</v>
      </c>
      <c r="C1093" s="1" t="str">
        <f>"NEWARK"</f>
        <v>NEWARK</v>
      </c>
      <c r="D1093" s="1" t="str">
        <f t="shared" si="78"/>
        <v>IL</v>
      </c>
      <c r="E1093" s="2">
        <v>3.2418952618453803E-2</v>
      </c>
      <c r="F1093" s="2">
        <v>1.4925373134328301E-2</v>
      </c>
      <c r="G1093" s="2">
        <v>0</v>
      </c>
      <c r="H1093" s="2">
        <v>3.0674846625766802E-2</v>
      </c>
    </row>
    <row r="1094" spans="1:8" x14ac:dyDescent="0.25">
      <c r="A1094" s="1" t="str">
        <f>"60541"</f>
        <v>60541</v>
      </c>
      <c r="B1094" s="1" t="str">
        <f>"20994"</f>
        <v>20994</v>
      </c>
      <c r="C1094" s="1" t="str">
        <f>"NEWARK"</f>
        <v>NEWARK</v>
      </c>
      <c r="D1094" s="1" t="str">
        <f t="shared" si="78"/>
        <v>IL</v>
      </c>
      <c r="E1094" s="2">
        <v>0.96758104738154604</v>
      </c>
      <c r="F1094" s="2">
        <v>0.98507462686567104</v>
      </c>
      <c r="G1094" s="2">
        <v>1</v>
      </c>
      <c r="H1094" s="2">
        <v>0.96932515337423297</v>
      </c>
    </row>
    <row r="1095" spans="1:8" x14ac:dyDescent="0.25">
      <c r="A1095" s="1" t="str">
        <f>"60039"</f>
        <v>60039</v>
      </c>
      <c r="B1095" s="1" t="str">
        <f>"16984"</f>
        <v>16984</v>
      </c>
      <c r="C1095" s="1" t="str">
        <f>"CRYSTAL LAKE"</f>
        <v>CRYSTAL LAKE</v>
      </c>
      <c r="D1095" s="1" t="str">
        <f t="shared" si="78"/>
        <v>IL</v>
      </c>
      <c r="E1095" s="2">
        <v>1</v>
      </c>
      <c r="F1095" s="2">
        <v>1</v>
      </c>
      <c r="G1095" s="2">
        <v>1</v>
      </c>
      <c r="H1095" s="2">
        <v>1</v>
      </c>
    </row>
    <row r="1096" spans="1:8" x14ac:dyDescent="0.25">
      <c r="A1096" s="1" t="str">
        <f>"60005"</f>
        <v>60005</v>
      </c>
      <c r="B1096" s="1" t="str">
        <f>"16984"</f>
        <v>16984</v>
      </c>
      <c r="C1096" s="1" t="str">
        <f>"ARLINGTON HEIGHTS"</f>
        <v>ARLINGTON HEIGHTS</v>
      </c>
      <c r="D1096" s="1" t="str">
        <f t="shared" si="78"/>
        <v>IL</v>
      </c>
      <c r="E1096" s="2">
        <v>1</v>
      </c>
      <c r="F1096" s="2">
        <v>1</v>
      </c>
      <c r="G1096" s="2">
        <v>1</v>
      </c>
      <c r="H1096" s="2">
        <v>1</v>
      </c>
    </row>
    <row r="1097" spans="1:8" x14ac:dyDescent="0.25">
      <c r="A1097" s="1" t="str">
        <f>"60103"</f>
        <v>60103</v>
      </c>
      <c r="B1097" s="1" t="str">
        <f>"16984"</f>
        <v>16984</v>
      </c>
      <c r="C1097" s="1" t="str">
        <f>"BARTLETT"</f>
        <v>BARTLETT</v>
      </c>
      <c r="D1097" s="1" t="str">
        <f t="shared" si="78"/>
        <v>IL</v>
      </c>
      <c r="E1097" s="2">
        <v>1</v>
      </c>
      <c r="F1097" s="2">
        <v>0.98207885304659404</v>
      </c>
      <c r="G1097" s="2">
        <v>1</v>
      </c>
      <c r="H1097" s="2">
        <v>0.99912393411984501</v>
      </c>
    </row>
    <row r="1098" spans="1:8" x14ac:dyDescent="0.25">
      <c r="A1098" s="1" t="str">
        <f>"60103"</f>
        <v>60103</v>
      </c>
      <c r="B1098" s="1" t="str">
        <f>"20994"</f>
        <v>20994</v>
      </c>
      <c r="C1098" s="1" t="str">
        <f>"BARTLETT"</f>
        <v>BARTLETT</v>
      </c>
      <c r="D1098" s="1" t="str">
        <f t="shared" si="78"/>
        <v>IL</v>
      </c>
      <c r="E1098" s="2">
        <v>0</v>
      </c>
      <c r="F1098" s="2">
        <v>1.7921146953405E-2</v>
      </c>
      <c r="G1098" s="2">
        <v>0</v>
      </c>
      <c r="H1098" s="2">
        <v>8.7606588015418704E-4</v>
      </c>
    </row>
    <row r="1099" spans="1:8" x14ac:dyDescent="0.25">
      <c r="A1099" s="1" t="str">
        <f>"60177"</f>
        <v>60177</v>
      </c>
      <c r="B1099" s="1" t="str">
        <f>"20994"</f>
        <v>20994</v>
      </c>
      <c r="C1099" s="1" t="str">
        <f>"SOUTH ELGIN"</f>
        <v>SOUTH ELGIN</v>
      </c>
      <c r="D1099" s="1" t="str">
        <f t="shared" si="78"/>
        <v>IL</v>
      </c>
      <c r="E1099" s="2">
        <v>1</v>
      </c>
      <c r="F1099" s="2">
        <v>1</v>
      </c>
      <c r="G1099" s="2">
        <v>1</v>
      </c>
      <c r="H1099" s="2">
        <v>1</v>
      </c>
    </row>
    <row r="1100" spans="1:8" x14ac:dyDescent="0.25">
      <c r="A1100" s="1" t="str">
        <f>"60712"</f>
        <v>60712</v>
      </c>
      <c r="B1100" s="1" t="str">
        <f>"16984"</f>
        <v>16984</v>
      </c>
      <c r="C1100" s="1" t="str">
        <f>"LINCOLNWOOD"</f>
        <v>LINCOLNWOOD</v>
      </c>
      <c r="D1100" s="1" t="str">
        <f t="shared" si="78"/>
        <v>IL</v>
      </c>
      <c r="E1100" s="2">
        <v>1</v>
      </c>
      <c r="F1100" s="2">
        <v>1</v>
      </c>
      <c r="G1100" s="2">
        <v>1</v>
      </c>
      <c r="H1100" s="2">
        <v>1</v>
      </c>
    </row>
    <row r="1101" spans="1:8" x14ac:dyDescent="0.25">
      <c r="A1101" s="1" t="str">
        <f>"60604"</f>
        <v>60604</v>
      </c>
      <c r="B1101" s="1" t="str">
        <f>"16984"</f>
        <v>16984</v>
      </c>
      <c r="C1101" s="1" t="str">
        <f>"CHICAGO"</f>
        <v>CHICAGO</v>
      </c>
      <c r="D1101" s="1" t="str">
        <f t="shared" si="78"/>
        <v>IL</v>
      </c>
      <c r="E1101" s="2">
        <v>1</v>
      </c>
      <c r="F1101" s="2">
        <v>1</v>
      </c>
      <c r="G1101" s="2">
        <v>1</v>
      </c>
      <c r="H1101" s="2">
        <v>1</v>
      </c>
    </row>
    <row r="1102" spans="1:8" x14ac:dyDescent="0.25">
      <c r="A1102" s="1" t="str">
        <f>"60644"</f>
        <v>60644</v>
      </c>
      <c r="B1102" s="1" t="str">
        <f>"16984"</f>
        <v>16984</v>
      </c>
      <c r="C1102" s="1" t="str">
        <f>"CHICAGO"</f>
        <v>CHICAGO</v>
      </c>
      <c r="D1102" s="1" t="str">
        <f t="shared" si="78"/>
        <v>IL</v>
      </c>
      <c r="E1102" s="2">
        <v>1</v>
      </c>
      <c r="F1102" s="2">
        <v>1</v>
      </c>
      <c r="G1102" s="2">
        <v>1</v>
      </c>
      <c r="H1102" s="2">
        <v>1</v>
      </c>
    </row>
    <row r="1103" spans="1:8" x14ac:dyDescent="0.25">
      <c r="A1103" s="1" t="str">
        <f>"75022"</f>
        <v>75022</v>
      </c>
      <c r="B1103" s="1" t="str">
        <f>"19124"</f>
        <v>19124</v>
      </c>
      <c r="C1103" s="1" t="str">
        <f>"FLOWER MOUND"</f>
        <v>FLOWER MOUND</v>
      </c>
      <c r="D1103" s="1" t="str">
        <f t="shared" ref="D1103:D1111" si="79">"TX"</f>
        <v>TX</v>
      </c>
      <c r="E1103" s="2">
        <v>0.96406495547407001</v>
      </c>
      <c r="F1103" s="2">
        <v>0.99616858237547801</v>
      </c>
      <c r="G1103" s="2">
        <v>0.97446808510638205</v>
      </c>
      <c r="H1103" s="2">
        <v>0.96592894583576006</v>
      </c>
    </row>
    <row r="1104" spans="1:8" x14ac:dyDescent="0.25">
      <c r="A1104" s="1" t="str">
        <f>"75022"</f>
        <v>75022</v>
      </c>
      <c r="B1104" s="1" t="str">
        <f>"23104"</f>
        <v>23104</v>
      </c>
      <c r="C1104" s="1" t="str">
        <f>"FLOWER MOUND"</f>
        <v>FLOWER MOUND</v>
      </c>
      <c r="D1104" s="1" t="str">
        <f t="shared" si="79"/>
        <v>TX</v>
      </c>
      <c r="E1104" s="2">
        <v>3.5935044525929799E-2</v>
      </c>
      <c r="F1104" s="2">
        <v>3.83141762452107E-3</v>
      </c>
      <c r="G1104" s="2">
        <v>2.5531914893616999E-2</v>
      </c>
      <c r="H1104" s="2">
        <v>3.4071054164239903E-2</v>
      </c>
    </row>
    <row r="1105" spans="1:8" x14ac:dyDescent="0.25">
      <c r="A1105" s="1" t="str">
        <f>"75098"</f>
        <v>75098</v>
      </c>
      <c r="B1105" s="1" t="str">
        <f>"19124"</f>
        <v>19124</v>
      </c>
      <c r="C1105" s="1" t="str">
        <f>"WYLIE"</f>
        <v>WYLIE</v>
      </c>
      <c r="D1105" s="1" t="str">
        <f t="shared" si="79"/>
        <v>TX</v>
      </c>
      <c r="E1105" s="2">
        <v>1</v>
      </c>
      <c r="F1105" s="2">
        <v>1</v>
      </c>
      <c r="G1105" s="2">
        <v>1</v>
      </c>
      <c r="H1105" s="2">
        <v>1</v>
      </c>
    </row>
    <row r="1106" spans="1:8" x14ac:dyDescent="0.25">
      <c r="A1106" s="1" t="str">
        <f>"75146"</f>
        <v>75146</v>
      </c>
      <c r="B1106" s="1" t="str">
        <f>"19124"</f>
        <v>19124</v>
      </c>
      <c r="C1106" s="1" t="str">
        <f>"LANCASTER"</f>
        <v>LANCASTER</v>
      </c>
      <c r="D1106" s="1" t="str">
        <f t="shared" si="79"/>
        <v>TX</v>
      </c>
      <c r="E1106" s="2">
        <v>1</v>
      </c>
      <c r="F1106" s="2">
        <v>1</v>
      </c>
      <c r="G1106" s="2">
        <v>1</v>
      </c>
      <c r="H1106" s="2">
        <v>1</v>
      </c>
    </row>
    <row r="1107" spans="1:8" x14ac:dyDescent="0.25">
      <c r="A1107" s="1" t="str">
        <f>"75106"</f>
        <v>75106</v>
      </c>
      <c r="B1107" s="1" t="str">
        <f>"19124"</f>
        <v>19124</v>
      </c>
      <c r="C1107" s="1" t="str">
        <f>"CEDAR HILL"</f>
        <v>CEDAR HILL</v>
      </c>
      <c r="D1107" s="1" t="str">
        <f t="shared" si="79"/>
        <v>TX</v>
      </c>
      <c r="E1107" s="2">
        <v>1</v>
      </c>
      <c r="F1107" s="2">
        <v>1</v>
      </c>
      <c r="G1107" s="2">
        <v>1</v>
      </c>
      <c r="H1107" s="2">
        <v>1</v>
      </c>
    </row>
    <row r="1108" spans="1:8" x14ac:dyDescent="0.25">
      <c r="A1108" s="1" t="str">
        <f>"76088"</f>
        <v>76088</v>
      </c>
      <c r="B1108" s="1" t="str">
        <f>"23104"</f>
        <v>23104</v>
      </c>
      <c r="C1108" s="1" t="str">
        <f>"WEATHERFORD"</f>
        <v>WEATHERFORD</v>
      </c>
      <c r="D1108" s="1" t="str">
        <f t="shared" si="79"/>
        <v>TX</v>
      </c>
      <c r="E1108" s="2">
        <v>1</v>
      </c>
      <c r="F1108" s="2">
        <v>1</v>
      </c>
      <c r="G1108" s="2">
        <v>1</v>
      </c>
      <c r="H1108" s="2">
        <v>1</v>
      </c>
    </row>
    <row r="1109" spans="1:8" x14ac:dyDescent="0.25">
      <c r="A1109" s="1" t="str">
        <f>"76179"</f>
        <v>76179</v>
      </c>
      <c r="B1109" s="1" t="str">
        <f>"23104"</f>
        <v>23104</v>
      </c>
      <c r="C1109" s="1" t="str">
        <f>"FORT WORTH"</f>
        <v>FORT WORTH</v>
      </c>
      <c r="D1109" s="1" t="str">
        <f t="shared" si="79"/>
        <v>TX</v>
      </c>
      <c r="E1109" s="2">
        <v>1</v>
      </c>
      <c r="F1109" s="2">
        <v>1</v>
      </c>
      <c r="G1109" s="2">
        <v>1</v>
      </c>
      <c r="H1109" s="2">
        <v>1</v>
      </c>
    </row>
    <row r="1110" spans="1:8" x14ac:dyDescent="0.25">
      <c r="A1110" s="1" t="str">
        <f>"76262"</f>
        <v>76262</v>
      </c>
      <c r="B1110" s="1" t="str">
        <f>"23104"</f>
        <v>23104</v>
      </c>
      <c r="C1110" s="1" t="str">
        <f>"ROANOKE"</f>
        <v>ROANOKE</v>
      </c>
      <c r="D1110" s="1" t="str">
        <f t="shared" si="79"/>
        <v>TX</v>
      </c>
      <c r="E1110" s="2">
        <v>0.24908273474239001</v>
      </c>
      <c r="F1110" s="2">
        <v>0.15246913580246901</v>
      </c>
      <c r="G1110" s="2">
        <v>0.28181818181818102</v>
      </c>
      <c r="H1110" s="2">
        <v>0.24224214825595</v>
      </c>
    </row>
    <row r="1111" spans="1:8" x14ac:dyDescent="0.25">
      <c r="A1111" s="1" t="str">
        <f>"76262"</f>
        <v>76262</v>
      </c>
      <c r="B1111" s="1" t="str">
        <f>"19124"</f>
        <v>19124</v>
      </c>
      <c r="C1111" s="1" t="str">
        <f>"ROANOKE"</f>
        <v>ROANOKE</v>
      </c>
      <c r="D1111" s="1" t="str">
        <f t="shared" si="79"/>
        <v>TX</v>
      </c>
      <c r="E1111" s="2">
        <v>0.75091726525760905</v>
      </c>
      <c r="F1111" s="2">
        <v>0.84753086419752999</v>
      </c>
      <c r="G1111" s="2">
        <v>0.71818181818181803</v>
      </c>
      <c r="H1111" s="2">
        <v>0.75775785174404897</v>
      </c>
    </row>
    <row r="1112" spans="1:8" x14ac:dyDescent="0.25">
      <c r="A1112" s="1" t="str">
        <f>"90026"</f>
        <v>90026</v>
      </c>
      <c r="B1112" s="1" t="str">
        <f t="shared" ref="B1112:B1117" si="80">"31084"</f>
        <v>31084</v>
      </c>
      <c r="C1112" s="1" t="str">
        <f>"LOS ANGELES"</f>
        <v>LOS ANGELES</v>
      </c>
      <c r="D1112" s="1" t="str">
        <f t="shared" ref="D1112:D1126" si="81">"CA"</f>
        <v>CA</v>
      </c>
      <c r="E1112" s="2">
        <v>1</v>
      </c>
      <c r="F1112" s="2">
        <v>1</v>
      </c>
      <c r="G1112" s="2">
        <v>1</v>
      </c>
      <c r="H1112" s="2">
        <v>1</v>
      </c>
    </row>
    <row r="1113" spans="1:8" x14ac:dyDescent="0.25">
      <c r="A1113" s="1" t="str">
        <f>"90211"</f>
        <v>90211</v>
      </c>
      <c r="B1113" s="1" t="str">
        <f t="shared" si="80"/>
        <v>31084</v>
      </c>
      <c r="C1113" s="1" t="str">
        <f>"BEVERLY HILLS"</f>
        <v>BEVERLY HILLS</v>
      </c>
      <c r="D1113" s="1" t="str">
        <f t="shared" si="81"/>
        <v>CA</v>
      </c>
      <c r="E1113" s="2">
        <v>1</v>
      </c>
      <c r="F1113" s="2">
        <v>1</v>
      </c>
      <c r="G1113" s="2">
        <v>1</v>
      </c>
      <c r="H1113" s="2">
        <v>1</v>
      </c>
    </row>
    <row r="1114" spans="1:8" x14ac:dyDescent="0.25">
      <c r="A1114" s="1" t="str">
        <f>"90077"</f>
        <v>90077</v>
      </c>
      <c r="B1114" s="1" t="str">
        <f t="shared" si="80"/>
        <v>31084</v>
      </c>
      <c r="C1114" s="1" t="str">
        <f>"LOS ANGELES"</f>
        <v>LOS ANGELES</v>
      </c>
      <c r="D1114" s="1" t="str">
        <f t="shared" si="81"/>
        <v>CA</v>
      </c>
      <c r="E1114" s="2">
        <v>1</v>
      </c>
      <c r="F1114" s="2">
        <v>1</v>
      </c>
      <c r="G1114" s="2">
        <v>1</v>
      </c>
      <c r="H1114" s="2">
        <v>1</v>
      </c>
    </row>
    <row r="1115" spans="1:8" x14ac:dyDescent="0.25">
      <c r="A1115" s="1" t="str">
        <f>"91316"</f>
        <v>91316</v>
      </c>
      <c r="B1115" s="1" t="str">
        <f t="shared" si="80"/>
        <v>31084</v>
      </c>
      <c r="C1115" s="1" t="str">
        <f>"ENCINO"</f>
        <v>ENCINO</v>
      </c>
      <c r="D1115" s="1" t="str">
        <f t="shared" si="81"/>
        <v>CA</v>
      </c>
      <c r="E1115" s="2">
        <v>1</v>
      </c>
      <c r="F1115" s="2">
        <v>1</v>
      </c>
      <c r="G1115" s="2">
        <v>1</v>
      </c>
      <c r="H1115" s="2">
        <v>1</v>
      </c>
    </row>
    <row r="1116" spans="1:8" x14ac:dyDescent="0.25">
      <c r="A1116" s="1" t="str">
        <f>"91025"</f>
        <v>91025</v>
      </c>
      <c r="B1116" s="1" t="str">
        <f t="shared" si="80"/>
        <v>31084</v>
      </c>
      <c r="C1116" s="1" t="str">
        <f>"SIERRA MADRE"</f>
        <v>SIERRA MADRE</v>
      </c>
      <c r="D1116" s="1" t="str">
        <f t="shared" si="81"/>
        <v>CA</v>
      </c>
      <c r="E1116" s="2">
        <v>1</v>
      </c>
      <c r="F1116" s="2">
        <v>1</v>
      </c>
      <c r="G1116" s="2">
        <v>1</v>
      </c>
      <c r="H1116" s="2">
        <v>1</v>
      </c>
    </row>
    <row r="1117" spans="1:8" x14ac:dyDescent="0.25">
      <c r="A1117" s="1" t="str">
        <f>"91031"</f>
        <v>91031</v>
      </c>
      <c r="B1117" s="1" t="str">
        <f t="shared" si="80"/>
        <v>31084</v>
      </c>
      <c r="C1117" s="1" t="str">
        <f>"SOUTH PASADENA"</f>
        <v>SOUTH PASADENA</v>
      </c>
      <c r="D1117" s="1" t="str">
        <f t="shared" si="81"/>
        <v>CA</v>
      </c>
      <c r="E1117" s="2">
        <v>1</v>
      </c>
      <c r="F1117" s="2">
        <v>1</v>
      </c>
      <c r="G1117" s="2">
        <v>1</v>
      </c>
      <c r="H1117" s="2">
        <v>1</v>
      </c>
    </row>
    <row r="1118" spans="1:8" x14ac:dyDescent="0.25">
      <c r="A1118" s="1" t="str">
        <f>"92703"</f>
        <v>92703</v>
      </c>
      <c r="B1118" s="1" t="str">
        <f>"11244"</f>
        <v>11244</v>
      </c>
      <c r="C1118" s="1" t="str">
        <f>"SANTA ANA"</f>
        <v>SANTA ANA</v>
      </c>
      <c r="D1118" s="1" t="str">
        <f t="shared" si="81"/>
        <v>CA</v>
      </c>
      <c r="E1118" s="2">
        <v>1</v>
      </c>
      <c r="F1118" s="2">
        <v>1</v>
      </c>
      <c r="G1118" s="2">
        <v>1</v>
      </c>
      <c r="H1118" s="2">
        <v>1</v>
      </c>
    </row>
    <row r="1119" spans="1:8" x14ac:dyDescent="0.25">
      <c r="A1119" s="1" t="str">
        <f>"92656"</f>
        <v>92656</v>
      </c>
      <c r="B1119" s="1" t="str">
        <f>"11244"</f>
        <v>11244</v>
      </c>
      <c r="C1119" s="1" t="str">
        <f>"ALISO VIEJO"</f>
        <v>ALISO VIEJO</v>
      </c>
      <c r="D1119" s="1" t="str">
        <f t="shared" si="81"/>
        <v>CA</v>
      </c>
      <c r="E1119" s="2">
        <v>1</v>
      </c>
      <c r="F1119" s="2">
        <v>1</v>
      </c>
      <c r="G1119" s="2">
        <v>1</v>
      </c>
      <c r="H1119" s="2">
        <v>1</v>
      </c>
    </row>
    <row r="1120" spans="1:8" x14ac:dyDescent="0.25">
      <c r="A1120" s="1" t="str">
        <f>"92657"</f>
        <v>92657</v>
      </c>
      <c r="B1120" s="1" t="str">
        <f>"11244"</f>
        <v>11244</v>
      </c>
      <c r="C1120" s="1" t="str">
        <f>"NEWPORT COAST"</f>
        <v>NEWPORT COAST</v>
      </c>
      <c r="D1120" s="1" t="str">
        <f t="shared" si="81"/>
        <v>CA</v>
      </c>
      <c r="E1120" s="2">
        <v>1</v>
      </c>
      <c r="F1120" s="2">
        <v>1</v>
      </c>
      <c r="G1120" s="2">
        <v>1</v>
      </c>
      <c r="H1120" s="2">
        <v>1</v>
      </c>
    </row>
    <row r="1121" spans="1:8" x14ac:dyDescent="0.25">
      <c r="A1121" s="1" t="str">
        <f>"91748"</f>
        <v>91748</v>
      </c>
      <c r="B1121" s="1" t="str">
        <f>"31084"</f>
        <v>31084</v>
      </c>
      <c r="C1121" s="1" t="str">
        <f>"ROWLAND HEIGHTS"</f>
        <v>ROWLAND HEIGHTS</v>
      </c>
      <c r="D1121" s="1" t="str">
        <f t="shared" si="81"/>
        <v>CA</v>
      </c>
      <c r="E1121" s="2">
        <v>1</v>
      </c>
      <c r="F1121" s="2">
        <v>1</v>
      </c>
      <c r="G1121" s="2">
        <v>1</v>
      </c>
      <c r="H1121" s="2">
        <v>1</v>
      </c>
    </row>
    <row r="1122" spans="1:8" x14ac:dyDescent="0.25">
      <c r="A1122" s="1" t="str">
        <f>"92626"</f>
        <v>92626</v>
      </c>
      <c r="B1122" s="1" t="str">
        <f>"11244"</f>
        <v>11244</v>
      </c>
      <c r="C1122" s="1" t="str">
        <f>"COSTA MESA"</f>
        <v>COSTA MESA</v>
      </c>
      <c r="D1122" s="1" t="str">
        <f t="shared" si="81"/>
        <v>CA</v>
      </c>
      <c r="E1122" s="2">
        <v>1</v>
      </c>
      <c r="F1122" s="2">
        <v>1</v>
      </c>
      <c r="G1122" s="2">
        <v>1</v>
      </c>
      <c r="H1122" s="2">
        <v>1</v>
      </c>
    </row>
    <row r="1123" spans="1:8" x14ac:dyDescent="0.25">
      <c r="A1123" s="1" t="str">
        <f>"94514"</f>
        <v>94514</v>
      </c>
      <c r="B1123" s="1" t="str">
        <f>"36084"</f>
        <v>36084</v>
      </c>
      <c r="C1123" s="1" t="str">
        <f>"BYRON"</f>
        <v>BYRON</v>
      </c>
      <c r="D1123" s="1" t="str">
        <f t="shared" si="81"/>
        <v>CA</v>
      </c>
      <c r="E1123" s="2">
        <v>1</v>
      </c>
      <c r="F1123" s="2">
        <v>1</v>
      </c>
      <c r="G1123" s="2">
        <v>1</v>
      </c>
      <c r="H1123" s="2">
        <v>1</v>
      </c>
    </row>
    <row r="1124" spans="1:8" x14ac:dyDescent="0.25">
      <c r="A1124" s="1" t="str">
        <f>"94920"</f>
        <v>94920</v>
      </c>
      <c r="B1124" s="1" t="str">
        <f>"42034"</f>
        <v>42034</v>
      </c>
      <c r="C1124" s="1" t="str">
        <f>"BELVEDERE TIBURON"</f>
        <v>BELVEDERE TIBURON</v>
      </c>
      <c r="D1124" s="1" t="str">
        <f t="shared" si="81"/>
        <v>CA</v>
      </c>
      <c r="E1124" s="2">
        <v>1</v>
      </c>
      <c r="F1124" s="2">
        <v>1</v>
      </c>
      <c r="G1124" s="2">
        <v>1</v>
      </c>
      <c r="H1124" s="2">
        <v>1</v>
      </c>
    </row>
    <row r="1125" spans="1:8" x14ac:dyDescent="0.25">
      <c r="A1125" s="1" t="str">
        <f>"94505"</f>
        <v>94505</v>
      </c>
      <c r="B1125" s="1" t="str">
        <f>"36084"</f>
        <v>36084</v>
      </c>
      <c r="C1125" s="1" t="str">
        <f>"DISCOVERY BAY"</f>
        <v>DISCOVERY BAY</v>
      </c>
      <c r="D1125" s="1" t="str">
        <f t="shared" si="81"/>
        <v>CA</v>
      </c>
      <c r="E1125" s="2">
        <v>1</v>
      </c>
      <c r="F1125" s="2">
        <v>1</v>
      </c>
      <c r="G1125" s="2">
        <v>1</v>
      </c>
      <c r="H1125" s="2">
        <v>1</v>
      </c>
    </row>
    <row r="1126" spans="1:8" x14ac:dyDescent="0.25">
      <c r="A1126" s="1" t="str">
        <f>"94579"</f>
        <v>94579</v>
      </c>
      <c r="B1126" s="1" t="str">
        <f>"36084"</f>
        <v>36084</v>
      </c>
      <c r="C1126" s="1" t="str">
        <f>"SAN LEANDRO"</f>
        <v>SAN LEANDRO</v>
      </c>
      <c r="D1126" s="1" t="str">
        <f t="shared" si="81"/>
        <v>CA</v>
      </c>
      <c r="E1126" s="2">
        <v>1</v>
      </c>
      <c r="F1126" s="2">
        <v>1</v>
      </c>
      <c r="G1126" s="2">
        <v>1</v>
      </c>
      <c r="H1126" s="2">
        <v>1</v>
      </c>
    </row>
    <row r="1127" spans="1:8" x14ac:dyDescent="0.25">
      <c r="A1127" s="1" t="str">
        <f>"98008"</f>
        <v>98008</v>
      </c>
      <c r="B1127" s="1" t="str">
        <f>"42644"</f>
        <v>42644</v>
      </c>
      <c r="C1127" s="1" t="str">
        <f>"BELLEVUE"</f>
        <v>BELLEVUE</v>
      </c>
      <c r="D1127" s="1" t="str">
        <f t="shared" ref="D1127:D1137" si="82">"WA"</f>
        <v>WA</v>
      </c>
      <c r="E1127" s="2">
        <v>1</v>
      </c>
      <c r="F1127" s="2">
        <v>1</v>
      </c>
      <c r="G1127" s="2">
        <v>1</v>
      </c>
      <c r="H1127" s="2">
        <v>1</v>
      </c>
    </row>
    <row r="1128" spans="1:8" x14ac:dyDescent="0.25">
      <c r="A1128" s="1" t="str">
        <f>"98001"</f>
        <v>98001</v>
      </c>
      <c r="B1128" s="1" t="str">
        <f>"42644"</f>
        <v>42644</v>
      </c>
      <c r="C1128" s="1" t="str">
        <f>"AUBURN"</f>
        <v>AUBURN</v>
      </c>
      <c r="D1128" s="1" t="str">
        <f t="shared" si="82"/>
        <v>WA</v>
      </c>
      <c r="E1128" s="2">
        <v>1</v>
      </c>
      <c r="F1128" s="2">
        <v>1</v>
      </c>
      <c r="G1128" s="2">
        <v>1</v>
      </c>
      <c r="H1128" s="2">
        <v>1</v>
      </c>
    </row>
    <row r="1129" spans="1:8" x14ac:dyDescent="0.25">
      <c r="A1129" s="1" t="str">
        <f>"98053"</f>
        <v>98053</v>
      </c>
      <c r="B1129" s="1" t="str">
        <f>"42644"</f>
        <v>42644</v>
      </c>
      <c r="C1129" s="1" t="str">
        <f>"REDMOND"</f>
        <v>REDMOND</v>
      </c>
      <c r="D1129" s="1" t="str">
        <f t="shared" si="82"/>
        <v>WA</v>
      </c>
      <c r="E1129" s="2">
        <v>1</v>
      </c>
      <c r="F1129" s="2">
        <v>1</v>
      </c>
      <c r="G1129" s="2">
        <v>1</v>
      </c>
      <c r="H1129" s="2">
        <v>1</v>
      </c>
    </row>
    <row r="1130" spans="1:8" x14ac:dyDescent="0.25">
      <c r="A1130" s="1" t="str">
        <f>"98045"</f>
        <v>98045</v>
      </c>
      <c r="B1130" s="1" t="str">
        <f>"42644"</f>
        <v>42644</v>
      </c>
      <c r="C1130" s="1" t="str">
        <f>"NORTH BEND"</f>
        <v>NORTH BEND</v>
      </c>
      <c r="D1130" s="1" t="str">
        <f t="shared" si="82"/>
        <v>WA</v>
      </c>
      <c r="E1130" s="2">
        <v>1</v>
      </c>
      <c r="F1130" s="2">
        <v>1</v>
      </c>
      <c r="G1130" s="2">
        <v>1</v>
      </c>
      <c r="H1130" s="2">
        <v>1</v>
      </c>
    </row>
    <row r="1131" spans="1:8" x14ac:dyDescent="0.25">
      <c r="A1131" s="1" t="str">
        <f>"98059"</f>
        <v>98059</v>
      </c>
      <c r="B1131" s="1" t="str">
        <f>"42644"</f>
        <v>42644</v>
      </c>
      <c r="C1131" s="1" t="str">
        <f>"RENTON"</f>
        <v>RENTON</v>
      </c>
      <c r="D1131" s="1" t="str">
        <f t="shared" si="82"/>
        <v>WA</v>
      </c>
      <c r="E1131" s="2">
        <v>1</v>
      </c>
      <c r="F1131" s="2">
        <v>1</v>
      </c>
      <c r="G1131" s="2">
        <v>1</v>
      </c>
      <c r="H1131" s="2">
        <v>1</v>
      </c>
    </row>
    <row r="1132" spans="1:8" x14ac:dyDescent="0.25">
      <c r="A1132" s="1" t="str">
        <f>"98332"</f>
        <v>98332</v>
      </c>
      <c r="B1132" s="1" t="str">
        <f>"45104"</f>
        <v>45104</v>
      </c>
      <c r="C1132" s="1" t="str">
        <f>"GIG HARBOR"</f>
        <v>GIG HARBOR</v>
      </c>
      <c r="D1132" s="1" t="str">
        <f t="shared" si="82"/>
        <v>WA</v>
      </c>
      <c r="E1132" s="2">
        <v>1</v>
      </c>
      <c r="F1132" s="2">
        <v>1</v>
      </c>
      <c r="G1132" s="2">
        <v>1</v>
      </c>
      <c r="H1132" s="2">
        <v>1</v>
      </c>
    </row>
    <row r="1133" spans="1:8" x14ac:dyDescent="0.25">
      <c r="A1133" s="1" t="str">
        <f>"98288"</f>
        <v>98288</v>
      </c>
      <c r="B1133" s="1" t="str">
        <f>"42644"</f>
        <v>42644</v>
      </c>
      <c r="C1133" s="1" t="str">
        <f>"SKYKOMISH"</f>
        <v>SKYKOMISH</v>
      </c>
      <c r="D1133" s="1" t="str">
        <f t="shared" si="82"/>
        <v>WA</v>
      </c>
      <c r="E1133" s="2">
        <v>0</v>
      </c>
      <c r="F1133" s="2">
        <v>1</v>
      </c>
      <c r="G1133" s="2">
        <v>1</v>
      </c>
      <c r="H1133" s="2">
        <v>1</v>
      </c>
    </row>
    <row r="1134" spans="1:8" x14ac:dyDescent="0.25">
      <c r="A1134" s="1" t="str">
        <f>"98199"</f>
        <v>98199</v>
      </c>
      <c r="B1134" s="1" t="str">
        <f>"42644"</f>
        <v>42644</v>
      </c>
      <c r="C1134" s="1" t="str">
        <f>"SEATTLE"</f>
        <v>SEATTLE</v>
      </c>
      <c r="D1134" s="1" t="str">
        <f t="shared" si="82"/>
        <v>WA</v>
      </c>
      <c r="E1134" s="2">
        <v>1</v>
      </c>
      <c r="F1134" s="2">
        <v>1</v>
      </c>
      <c r="G1134" s="2">
        <v>1</v>
      </c>
      <c r="H1134" s="2">
        <v>1</v>
      </c>
    </row>
    <row r="1135" spans="1:8" x14ac:dyDescent="0.25">
      <c r="A1135" s="1" t="str">
        <f>"98201"</f>
        <v>98201</v>
      </c>
      <c r="B1135" s="1" t="str">
        <f>"42644"</f>
        <v>42644</v>
      </c>
      <c r="C1135" s="1" t="str">
        <f>"EVERETT"</f>
        <v>EVERETT</v>
      </c>
      <c r="D1135" s="1" t="str">
        <f t="shared" si="82"/>
        <v>WA</v>
      </c>
      <c r="E1135" s="2">
        <v>1</v>
      </c>
      <c r="F1135" s="2">
        <v>1</v>
      </c>
      <c r="G1135" s="2">
        <v>1</v>
      </c>
      <c r="H1135" s="2">
        <v>1</v>
      </c>
    </row>
    <row r="1136" spans="1:8" x14ac:dyDescent="0.25">
      <c r="A1136" s="1" t="str">
        <f>"98445"</f>
        <v>98445</v>
      </c>
      <c r="B1136" s="1" t="str">
        <f>"45104"</f>
        <v>45104</v>
      </c>
      <c r="C1136" s="1" t="str">
        <f>"TACOMA"</f>
        <v>TACOMA</v>
      </c>
      <c r="D1136" s="1" t="str">
        <f t="shared" si="82"/>
        <v>WA</v>
      </c>
      <c r="E1136" s="2">
        <v>1</v>
      </c>
      <c r="F1136" s="2">
        <v>1</v>
      </c>
      <c r="G1136" s="2">
        <v>1</v>
      </c>
      <c r="H1136" s="2">
        <v>1</v>
      </c>
    </row>
    <row r="1137" spans="1:8" x14ac:dyDescent="0.25">
      <c r="A1137" s="1" t="str">
        <f>"98467"</f>
        <v>98467</v>
      </c>
      <c r="B1137" s="1" t="str">
        <f>"45104"</f>
        <v>45104</v>
      </c>
      <c r="C1137" s="1" t="str">
        <f>"UNIVERSITY PLACE"</f>
        <v>UNIVERSITY PLACE</v>
      </c>
      <c r="D1137" s="1" t="str">
        <f t="shared" si="82"/>
        <v>WA</v>
      </c>
      <c r="E1137" s="2">
        <v>1</v>
      </c>
      <c r="F1137" s="2">
        <v>1</v>
      </c>
      <c r="G1137" s="2">
        <v>1</v>
      </c>
      <c r="H1137" s="2">
        <v>1</v>
      </c>
    </row>
    <row r="1138" spans="1:8" x14ac:dyDescent="0.25">
      <c r="A1138" s="1" t="str">
        <f>"02462"</f>
        <v>02462</v>
      </c>
      <c r="B1138" s="1" t="str">
        <f>"15764"</f>
        <v>15764</v>
      </c>
      <c r="C1138" s="1" t="str">
        <f>"NEWTON LOWER FALLS"</f>
        <v>NEWTON LOWER FALLS</v>
      </c>
      <c r="D1138" s="1" t="str">
        <f>"MA"</f>
        <v>MA</v>
      </c>
      <c r="E1138" s="2">
        <v>1</v>
      </c>
      <c r="F1138" s="2">
        <v>1</v>
      </c>
      <c r="G1138" s="2">
        <v>1</v>
      </c>
      <c r="H1138" s="2">
        <v>1</v>
      </c>
    </row>
    <row r="1139" spans="1:8" x14ac:dyDescent="0.25">
      <c r="A1139" s="1" t="str">
        <f>"07676"</f>
        <v>07676</v>
      </c>
      <c r="B1139" s="1" t="str">
        <f>"35614"</f>
        <v>35614</v>
      </c>
      <c r="C1139" s="1" t="str">
        <f>"TOWNSHIP OF WASHINGTON"</f>
        <v>TOWNSHIP OF WASHINGTON</v>
      </c>
      <c r="D1139" s="1" t="str">
        <f>"NJ"</f>
        <v>NJ</v>
      </c>
      <c r="E1139" s="2">
        <v>1</v>
      </c>
      <c r="F1139" s="2">
        <v>1</v>
      </c>
      <c r="G1139" s="2">
        <v>1</v>
      </c>
      <c r="H1139" s="2">
        <v>1</v>
      </c>
    </row>
    <row r="1140" spans="1:8" x14ac:dyDescent="0.25">
      <c r="A1140" s="1" t="str">
        <f>"11411"</f>
        <v>11411</v>
      </c>
      <c r="B1140" s="1" t="str">
        <f>"35614"</f>
        <v>35614</v>
      </c>
      <c r="C1140" s="1" t="str">
        <f>"CAMBRIA HEIGHTS"</f>
        <v>CAMBRIA HEIGHTS</v>
      </c>
      <c r="D1140" s="1" t="str">
        <f>"NY"</f>
        <v>NY</v>
      </c>
      <c r="E1140" s="2">
        <v>1</v>
      </c>
      <c r="F1140" s="2">
        <v>1</v>
      </c>
      <c r="G1140" s="2">
        <v>1</v>
      </c>
      <c r="H1140" s="2">
        <v>1</v>
      </c>
    </row>
    <row r="1141" spans="1:8" x14ac:dyDescent="0.25">
      <c r="A1141" s="1" t="str">
        <f>"11582"</f>
        <v>11582</v>
      </c>
      <c r="B1141" s="1" t="str">
        <f>"35004"</f>
        <v>35004</v>
      </c>
      <c r="C1141" s="1" t="str">
        <f>"VALLEY STREAM"</f>
        <v>VALLEY STREAM</v>
      </c>
      <c r="D1141" s="1" t="str">
        <f>"NY"</f>
        <v>NY</v>
      </c>
      <c r="E1141" s="2">
        <v>1</v>
      </c>
      <c r="F1141" s="2">
        <v>1</v>
      </c>
      <c r="G1141" s="2">
        <v>1</v>
      </c>
      <c r="H1141" s="2">
        <v>1</v>
      </c>
    </row>
    <row r="1142" spans="1:8" x14ac:dyDescent="0.25">
      <c r="A1142" s="1" t="str">
        <f>"11972"</f>
        <v>11972</v>
      </c>
      <c r="B1142" s="1" t="str">
        <f>"35004"</f>
        <v>35004</v>
      </c>
      <c r="C1142" s="1" t="str">
        <f>"SPEONK"</f>
        <v>SPEONK</v>
      </c>
      <c r="D1142" s="1" t="str">
        <f>"NY"</f>
        <v>NY</v>
      </c>
      <c r="E1142" s="2">
        <v>1</v>
      </c>
      <c r="F1142" s="2">
        <v>1</v>
      </c>
      <c r="G1142" s="2">
        <v>1</v>
      </c>
      <c r="H1142" s="2">
        <v>1</v>
      </c>
    </row>
    <row r="1143" spans="1:8" x14ac:dyDescent="0.25">
      <c r="A1143" s="1" t="str">
        <f>"21780"</f>
        <v>21780</v>
      </c>
      <c r="B1143" s="1" t="str">
        <f>"23224"</f>
        <v>23224</v>
      </c>
      <c r="C1143" s="1" t="str">
        <f>"SABILLASVILLE"</f>
        <v>SABILLASVILLE</v>
      </c>
      <c r="D1143" s="1" t="str">
        <f>"MD"</f>
        <v>MD</v>
      </c>
      <c r="E1143" s="2">
        <v>1</v>
      </c>
      <c r="F1143" s="2">
        <v>1</v>
      </c>
      <c r="G1143" s="2">
        <v>0</v>
      </c>
      <c r="H1143" s="2">
        <v>1</v>
      </c>
    </row>
    <row r="1144" spans="1:8" x14ac:dyDescent="0.25">
      <c r="A1144" s="1" t="str">
        <f>"33083"</f>
        <v>33083</v>
      </c>
      <c r="B1144" s="1" t="str">
        <f>"22744"</f>
        <v>22744</v>
      </c>
      <c r="C1144" s="1" t="str">
        <f>"HOLLYWOOD"</f>
        <v>HOLLYWOOD</v>
      </c>
      <c r="D1144" s="1" t="str">
        <f>"FL"</f>
        <v>FL</v>
      </c>
      <c r="E1144" s="2">
        <v>1</v>
      </c>
      <c r="F1144" s="2">
        <v>1</v>
      </c>
      <c r="G1144" s="2">
        <v>1</v>
      </c>
      <c r="H1144" s="2">
        <v>1</v>
      </c>
    </row>
    <row r="1145" spans="1:8" x14ac:dyDescent="0.25">
      <c r="A1145" s="1" t="str">
        <f>"33466"</f>
        <v>33466</v>
      </c>
      <c r="B1145" s="1" t="str">
        <f>"48424"</f>
        <v>48424</v>
      </c>
      <c r="C1145" s="1" t="str">
        <f>"LAKE WORTH"</f>
        <v>LAKE WORTH</v>
      </c>
      <c r="D1145" s="1" t="str">
        <f>"FL"</f>
        <v>FL</v>
      </c>
      <c r="E1145" s="2">
        <v>1</v>
      </c>
      <c r="F1145" s="2">
        <v>1</v>
      </c>
      <c r="G1145" s="2">
        <v>1</v>
      </c>
      <c r="H1145" s="2">
        <v>1</v>
      </c>
    </row>
    <row r="1146" spans="1:8" x14ac:dyDescent="0.25">
      <c r="A1146" s="1" t="str">
        <f>"33255"</f>
        <v>33255</v>
      </c>
      <c r="B1146" s="1" t="str">
        <f>"33124"</f>
        <v>33124</v>
      </c>
      <c r="C1146" s="1" t="str">
        <f>"MIAMI"</f>
        <v>MIAMI</v>
      </c>
      <c r="D1146" s="1" t="str">
        <f>"FL"</f>
        <v>FL</v>
      </c>
      <c r="E1146" s="2">
        <v>1</v>
      </c>
      <c r="F1146" s="2">
        <v>1</v>
      </c>
      <c r="G1146" s="2">
        <v>1</v>
      </c>
      <c r="H1146" s="2">
        <v>1</v>
      </c>
    </row>
    <row r="1147" spans="1:8" x14ac:dyDescent="0.25">
      <c r="A1147" s="1" t="str">
        <f>"60530"</f>
        <v>60530</v>
      </c>
      <c r="B1147" s="1" t="str">
        <f>"20994"</f>
        <v>20994</v>
      </c>
      <c r="C1147" s="1" t="str">
        <f>"LEE"</f>
        <v>LEE</v>
      </c>
      <c r="D1147" s="1" t="str">
        <f>"IL"</f>
        <v>IL</v>
      </c>
      <c r="E1147" s="2">
        <v>1</v>
      </c>
      <c r="F1147" s="2">
        <v>1</v>
      </c>
      <c r="G1147" s="2">
        <v>1</v>
      </c>
      <c r="H1147" s="2">
        <v>1</v>
      </c>
    </row>
    <row r="1148" spans="1:8" x14ac:dyDescent="0.25">
      <c r="A1148" s="1" t="str">
        <f>"76098"</f>
        <v>76098</v>
      </c>
      <c r="B1148" s="1" t="str">
        <f>"23104"</f>
        <v>23104</v>
      </c>
      <c r="C1148" s="1" t="str">
        <f>"AZLE"</f>
        <v>AZLE</v>
      </c>
      <c r="D1148" s="1" t="str">
        <f>"TX"</f>
        <v>TX</v>
      </c>
      <c r="E1148" s="2">
        <v>1</v>
      </c>
      <c r="F1148" s="2">
        <v>1</v>
      </c>
      <c r="G1148" s="2">
        <v>1</v>
      </c>
      <c r="H1148" s="2">
        <v>1</v>
      </c>
    </row>
    <row r="1149" spans="1:8" x14ac:dyDescent="0.25">
      <c r="A1149" s="1" t="str">
        <f>"90076"</f>
        <v>90076</v>
      </c>
      <c r="B1149" s="1" t="str">
        <f>"31084"</f>
        <v>31084</v>
      </c>
      <c r="C1149" s="1" t="str">
        <f>"LOS ANGELES"</f>
        <v>LOS ANGELES</v>
      </c>
      <c r="D1149" s="1" t="str">
        <f>"CA"</f>
        <v>CA</v>
      </c>
      <c r="E1149" s="2">
        <v>1</v>
      </c>
      <c r="F1149" s="2">
        <v>1</v>
      </c>
      <c r="G1149" s="2">
        <v>1</v>
      </c>
      <c r="H1149" s="2">
        <v>1</v>
      </c>
    </row>
    <row r="1150" spans="1:8" x14ac:dyDescent="0.25">
      <c r="A1150" s="1" t="str">
        <f>"90831"</f>
        <v>90831</v>
      </c>
      <c r="B1150" s="1" t="str">
        <f>"31084"</f>
        <v>31084</v>
      </c>
      <c r="C1150" s="1" t="str">
        <f>"LONG BEACH"</f>
        <v>LONG BEACH</v>
      </c>
      <c r="D1150" s="1" t="str">
        <f>"CA"</f>
        <v>CA</v>
      </c>
      <c r="E1150" s="2">
        <v>0</v>
      </c>
      <c r="F1150" s="2">
        <v>1</v>
      </c>
      <c r="G1150" s="2">
        <v>1</v>
      </c>
      <c r="H1150" s="2">
        <v>1</v>
      </c>
    </row>
    <row r="1151" spans="1:8" x14ac:dyDescent="0.25">
      <c r="A1151" s="1" t="str">
        <f>"92617"</f>
        <v>92617</v>
      </c>
      <c r="B1151" s="1" t="str">
        <f>"11244"</f>
        <v>11244</v>
      </c>
      <c r="C1151" s="1" t="str">
        <f>"IRVINE"</f>
        <v>IRVINE</v>
      </c>
      <c r="D1151" s="1" t="str">
        <f>"CA"</f>
        <v>CA</v>
      </c>
      <c r="E1151" s="2">
        <v>1</v>
      </c>
      <c r="F1151" s="2">
        <v>1</v>
      </c>
      <c r="G1151" s="2">
        <v>1</v>
      </c>
      <c r="H1151" s="2">
        <v>1</v>
      </c>
    </row>
    <row r="1152" spans="1:8" x14ac:dyDescent="0.25">
      <c r="A1152" s="1" t="str">
        <f>"60111"</f>
        <v>60111</v>
      </c>
      <c r="B1152" s="1" t="str">
        <f>"20994"</f>
        <v>20994</v>
      </c>
      <c r="C1152" s="1" t="str">
        <f>"CLARE"</f>
        <v>CLARE</v>
      </c>
      <c r="D1152" s="1" t="str">
        <f>"IL"</f>
        <v>IL</v>
      </c>
      <c r="E1152" s="2">
        <v>1</v>
      </c>
      <c r="F1152" s="2">
        <v>1</v>
      </c>
      <c r="G1152" s="2">
        <v>1</v>
      </c>
      <c r="H1152" s="2">
        <v>1</v>
      </c>
    </row>
    <row r="1153" spans="1:8" x14ac:dyDescent="0.25">
      <c r="A1153" s="1" t="str">
        <f>"76097"</f>
        <v>76097</v>
      </c>
      <c r="B1153" s="1" t="str">
        <f>"23104"</f>
        <v>23104</v>
      </c>
      <c r="C1153" s="1" t="str">
        <f>"BURLESON"</f>
        <v>BURLESON</v>
      </c>
      <c r="D1153" s="1" t="str">
        <f>"TX"</f>
        <v>TX</v>
      </c>
      <c r="E1153" s="2">
        <v>1</v>
      </c>
      <c r="F1153" s="2">
        <v>1</v>
      </c>
      <c r="G1153" s="2">
        <v>1</v>
      </c>
      <c r="H1153" s="2">
        <v>1</v>
      </c>
    </row>
    <row r="1154" spans="1:8" x14ac:dyDescent="0.25">
      <c r="A1154" s="1" t="str">
        <f>"94159"</f>
        <v>94159</v>
      </c>
      <c r="B1154" s="1" t="str">
        <f>"41884"</f>
        <v>41884</v>
      </c>
      <c r="C1154" s="1" t="str">
        <f>"SAN FRANCISCO"</f>
        <v>SAN FRANCISCO</v>
      </c>
      <c r="D1154" s="1" t="str">
        <f>"CA"</f>
        <v>CA</v>
      </c>
      <c r="E1154" s="2">
        <v>1</v>
      </c>
      <c r="F1154" s="2">
        <v>1</v>
      </c>
      <c r="G1154" s="2">
        <v>1</v>
      </c>
      <c r="H1154" s="2">
        <v>1</v>
      </c>
    </row>
    <row r="1155" spans="1:8" x14ac:dyDescent="0.25">
      <c r="A1155" s="1" t="str">
        <f>"98330"</f>
        <v>98330</v>
      </c>
      <c r="B1155" s="1" t="str">
        <f>"45104"</f>
        <v>45104</v>
      </c>
      <c r="C1155" s="1" t="str">
        <f>"ELBE"</f>
        <v>ELBE</v>
      </c>
      <c r="D1155" s="1" t="str">
        <f>"WA"</f>
        <v>WA</v>
      </c>
      <c r="E1155" s="2">
        <v>1</v>
      </c>
      <c r="F1155" s="2">
        <v>0</v>
      </c>
      <c r="G1155" s="2">
        <v>1</v>
      </c>
      <c r="H1155" s="2">
        <v>1</v>
      </c>
    </row>
    <row r="1156" spans="1:8" x14ac:dyDescent="0.25">
      <c r="A1156" s="1" t="str">
        <f>"20043"</f>
        <v>20043</v>
      </c>
      <c r="B1156" s="1" t="str">
        <f>"47894"</f>
        <v>47894</v>
      </c>
      <c r="C1156" s="1" t="str">
        <f>"WASHINGTON"</f>
        <v>WASHINGTON</v>
      </c>
      <c r="D1156" s="1" t="str">
        <f>"DC"</f>
        <v>DC</v>
      </c>
      <c r="E1156" s="2">
        <v>1</v>
      </c>
      <c r="F1156" s="2">
        <v>1</v>
      </c>
      <c r="G1156" s="2">
        <v>1</v>
      </c>
      <c r="H1156" s="2">
        <v>1</v>
      </c>
    </row>
    <row r="1157" spans="1:8" x14ac:dyDescent="0.25">
      <c r="A1157" s="1" t="str">
        <f>"22731"</f>
        <v>22731</v>
      </c>
      <c r="B1157" s="1" t="str">
        <f>"47894"</f>
        <v>47894</v>
      </c>
      <c r="C1157" s="1" t="str">
        <f>"PRATTS"</f>
        <v>PRATTS</v>
      </c>
      <c r="D1157" s="1" t="str">
        <f>"VA"</f>
        <v>VA</v>
      </c>
      <c r="E1157" s="2">
        <v>1</v>
      </c>
      <c r="F1157" s="2">
        <v>1</v>
      </c>
      <c r="G1157" s="2">
        <v>0</v>
      </c>
      <c r="H1157" s="2">
        <v>1</v>
      </c>
    </row>
    <row r="1158" spans="1:8" x14ac:dyDescent="0.25">
      <c r="A1158" s="1" t="str">
        <f>"48244"</f>
        <v>48244</v>
      </c>
      <c r="B1158" s="1" t="str">
        <f>"19804"</f>
        <v>19804</v>
      </c>
      <c r="C1158" s="1" t="str">
        <f>"DETROIT"</f>
        <v>DETROIT</v>
      </c>
      <c r="D1158" s="1" t="str">
        <f>"MI"</f>
        <v>MI</v>
      </c>
      <c r="E1158" s="2">
        <v>1</v>
      </c>
      <c r="F1158" s="2">
        <v>1</v>
      </c>
      <c r="G1158" s="2">
        <v>1</v>
      </c>
      <c r="H1158" s="2">
        <v>1</v>
      </c>
    </row>
    <row r="1159" spans="1:8" x14ac:dyDescent="0.25">
      <c r="A1159" s="1" t="str">
        <f>"20658"</f>
        <v>20658</v>
      </c>
      <c r="B1159" s="1" t="str">
        <f>"47894"</f>
        <v>47894</v>
      </c>
      <c r="C1159" s="1" t="str">
        <f>"MARBURY"</f>
        <v>MARBURY</v>
      </c>
      <c r="D1159" s="1" t="str">
        <f>"MD"</f>
        <v>MD</v>
      </c>
      <c r="E1159" s="2">
        <v>1</v>
      </c>
      <c r="F1159" s="2">
        <v>1</v>
      </c>
      <c r="G1159" s="2">
        <v>1</v>
      </c>
      <c r="H1159" s="2">
        <v>1</v>
      </c>
    </row>
    <row r="1160" spans="1:8" x14ac:dyDescent="0.25">
      <c r="A1160" s="1" t="str">
        <f>"20830"</f>
        <v>20830</v>
      </c>
      <c r="B1160" s="1" t="str">
        <f>"23224"</f>
        <v>23224</v>
      </c>
      <c r="C1160" s="1" t="str">
        <f>"OLNEY"</f>
        <v>OLNEY</v>
      </c>
      <c r="D1160" s="1" t="str">
        <f>"MD"</f>
        <v>MD</v>
      </c>
      <c r="E1160" s="2">
        <v>1</v>
      </c>
      <c r="F1160" s="2">
        <v>1</v>
      </c>
      <c r="G1160" s="2">
        <v>1</v>
      </c>
      <c r="H1160" s="2">
        <v>1</v>
      </c>
    </row>
    <row r="1161" spans="1:8" x14ac:dyDescent="0.25">
      <c r="A1161" s="1" t="str">
        <f>"53109"</f>
        <v>53109</v>
      </c>
      <c r="B1161" s="1" t="str">
        <f>"29404"</f>
        <v>29404</v>
      </c>
      <c r="C1161" s="1" t="str">
        <f>"CAMP LAKE"</f>
        <v>CAMP LAKE</v>
      </c>
      <c r="D1161" s="1" t="str">
        <f>"WI"</f>
        <v>WI</v>
      </c>
      <c r="E1161" s="2">
        <v>0</v>
      </c>
      <c r="F1161" s="2">
        <v>0</v>
      </c>
      <c r="G1161" s="2">
        <v>1</v>
      </c>
      <c r="H1161" s="2">
        <v>1</v>
      </c>
    </row>
    <row r="1162" spans="1:8" x14ac:dyDescent="0.25">
      <c r="A1162" s="1" t="str">
        <f>"60690"</f>
        <v>60690</v>
      </c>
      <c r="B1162" s="1" t="str">
        <f>"16984"</f>
        <v>16984</v>
      </c>
      <c r="C1162" s="1" t="str">
        <f>"CHICAGO"</f>
        <v>CHICAGO</v>
      </c>
      <c r="D1162" s="1" t="str">
        <f>"IL"</f>
        <v>IL</v>
      </c>
      <c r="E1162" s="2">
        <v>1</v>
      </c>
      <c r="F1162" s="2">
        <v>1</v>
      </c>
      <c r="G1162" s="2">
        <v>1</v>
      </c>
      <c r="H1162" s="2">
        <v>1</v>
      </c>
    </row>
    <row r="1163" spans="1:8" x14ac:dyDescent="0.25">
      <c r="A1163" s="1" t="str">
        <f>"92690"</f>
        <v>92690</v>
      </c>
      <c r="B1163" s="1" t="str">
        <f>"11244"</f>
        <v>11244</v>
      </c>
      <c r="C1163" s="1" t="str">
        <f>"MISSION VIEJO"</f>
        <v>MISSION VIEJO</v>
      </c>
      <c r="D1163" s="1" t="str">
        <f>"CA"</f>
        <v>CA</v>
      </c>
      <c r="E1163" s="2">
        <v>1</v>
      </c>
      <c r="F1163" s="2">
        <v>1</v>
      </c>
      <c r="G1163" s="2">
        <v>1</v>
      </c>
      <c r="H1163" s="2">
        <v>1</v>
      </c>
    </row>
    <row r="1164" spans="1:8" x14ac:dyDescent="0.25">
      <c r="A1164" s="1" t="str">
        <f>"98396"</f>
        <v>98396</v>
      </c>
      <c r="B1164" s="1" t="str">
        <f>"45104"</f>
        <v>45104</v>
      </c>
      <c r="C1164" s="1" t="str">
        <f>"WILKESON"</f>
        <v>WILKESON</v>
      </c>
      <c r="D1164" s="1" t="str">
        <f>"WA"</f>
        <v>WA</v>
      </c>
      <c r="E1164" s="2">
        <v>0</v>
      </c>
      <c r="F1164" s="2">
        <v>0</v>
      </c>
      <c r="G1164" s="2">
        <v>1</v>
      </c>
      <c r="H1164" s="2">
        <v>1</v>
      </c>
    </row>
    <row r="1165" spans="1:8" x14ac:dyDescent="0.25">
      <c r="A1165" s="1" t="str">
        <f>"07970"</f>
        <v>07970</v>
      </c>
      <c r="B1165" s="1" t="str">
        <f>"35084"</f>
        <v>35084</v>
      </c>
      <c r="C1165" s="1" t="str">
        <f>"MOUNT FREEDOM"</f>
        <v>MOUNT FREEDOM</v>
      </c>
      <c r="D1165" s="1" t="str">
        <f>"NJ"</f>
        <v>NJ</v>
      </c>
      <c r="E1165" s="2">
        <v>1</v>
      </c>
      <c r="F1165" s="2">
        <v>1</v>
      </c>
      <c r="G1165" s="2">
        <v>1</v>
      </c>
      <c r="H1165" s="2">
        <v>1</v>
      </c>
    </row>
    <row r="1166" spans="1:8" x14ac:dyDescent="0.25">
      <c r="A1166" s="1" t="str">
        <f>"90091"</f>
        <v>90091</v>
      </c>
      <c r="B1166" s="1" t="str">
        <f>"31084"</f>
        <v>31084</v>
      </c>
      <c r="C1166" s="1" t="str">
        <f>"LOS ANGELES"</f>
        <v>LOS ANGELES</v>
      </c>
      <c r="D1166" s="1" t="str">
        <f>"CA"</f>
        <v>CA</v>
      </c>
      <c r="E1166" s="2">
        <v>1</v>
      </c>
      <c r="F1166" s="2">
        <v>1</v>
      </c>
      <c r="G1166" s="2">
        <v>1</v>
      </c>
      <c r="H1166" s="2">
        <v>1</v>
      </c>
    </row>
    <row r="1167" spans="1:8" x14ac:dyDescent="0.25">
      <c r="A1167" s="1" t="str">
        <f>"10138"</f>
        <v>10138</v>
      </c>
      <c r="B1167" s="1" t="str">
        <f>"35614"</f>
        <v>35614</v>
      </c>
      <c r="C1167" s="1" t="str">
        <f>"NEW YORK"</f>
        <v>NEW YORK</v>
      </c>
      <c r="D1167" s="1" t="str">
        <f>"NY"</f>
        <v>NY</v>
      </c>
      <c r="E1167" s="2">
        <v>0</v>
      </c>
      <c r="F1167" s="2">
        <v>0</v>
      </c>
      <c r="G1167" s="2">
        <v>1</v>
      </c>
      <c r="H1167" s="2">
        <v>1</v>
      </c>
    </row>
    <row r="1168" spans="1:8" x14ac:dyDescent="0.25">
      <c r="A1168" s="1" t="str">
        <f>"20039"</f>
        <v>20039</v>
      </c>
      <c r="B1168" s="1" t="str">
        <f>"47894"</f>
        <v>47894</v>
      </c>
      <c r="C1168" s="1" t="str">
        <f>"WASHINGTON"</f>
        <v>WASHINGTON</v>
      </c>
      <c r="D1168" s="1" t="str">
        <f>"DC"</f>
        <v>DC</v>
      </c>
      <c r="E1168" s="2">
        <v>1</v>
      </c>
      <c r="F1168" s="2">
        <v>1</v>
      </c>
      <c r="G1168" s="2">
        <v>1</v>
      </c>
      <c r="H1168" s="2">
        <v>1</v>
      </c>
    </row>
    <row r="1169" spans="1:8" x14ac:dyDescent="0.25">
      <c r="A1169" s="1" t="str">
        <f>"94820"</f>
        <v>94820</v>
      </c>
      <c r="B1169" s="1" t="str">
        <f>"36084"</f>
        <v>36084</v>
      </c>
      <c r="C1169" s="1" t="str">
        <f>"EL SOBRANTE"</f>
        <v>EL SOBRANTE</v>
      </c>
      <c r="D1169" s="1" t="str">
        <f>"CA"</f>
        <v>CA</v>
      </c>
      <c r="E1169" s="2">
        <v>1</v>
      </c>
      <c r="F1169" s="2">
        <v>1</v>
      </c>
      <c r="G1169" s="2">
        <v>1</v>
      </c>
      <c r="H1169" s="2">
        <v>1</v>
      </c>
    </row>
    <row r="1170" spans="1:8" x14ac:dyDescent="0.25">
      <c r="A1170" s="1" t="str">
        <f>"10179"</f>
        <v>10179</v>
      </c>
      <c r="B1170" s="1" t="str">
        <f>"35614"</f>
        <v>35614</v>
      </c>
      <c r="C1170" s="1" t="str">
        <f>"NEW YORK"</f>
        <v>NEW YORK</v>
      </c>
      <c r="D1170" s="1" t="str">
        <f>"NY"</f>
        <v>NY</v>
      </c>
      <c r="E1170" s="2">
        <v>0</v>
      </c>
      <c r="F1170" s="2">
        <v>1</v>
      </c>
      <c r="G1170" s="2">
        <v>1</v>
      </c>
      <c r="H1170" s="2">
        <v>1</v>
      </c>
    </row>
    <row r="1171" spans="1:8" x14ac:dyDescent="0.25">
      <c r="A1171" s="1" t="str">
        <f>"19331"</f>
        <v>19331</v>
      </c>
      <c r="B1171" s="1" t="str">
        <f>"37964"</f>
        <v>37964</v>
      </c>
      <c r="C1171" s="1" t="str">
        <f>"CONCORDVILLE"</f>
        <v>CONCORDVILLE</v>
      </c>
      <c r="D1171" s="1" t="str">
        <f>"PA"</f>
        <v>PA</v>
      </c>
      <c r="E1171" s="2">
        <v>1</v>
      </c>
      <c r="F1171" s="2">
        <v>1</v>
      </c>
      <c r="G1171" s="2">
        <v>1</v>
      </c>
      <c r="H1171" s="2">
        <v>1</v>
      </c>
    </row>
    <row r="1172" spans="1:8" x14ac:dyDescent="0.25">
      <c r="A1172" s="1" t="str">
        <f>"94497"</f>
        <v>94497</v>
      </c>
      <c r="B1172" s="1" t="str">
        <f>"41884"</f>
        <v>41884</v>
      </c>
      <c r="C1172" s="1" t="str">
        <f>"SAN MATEO"</f>
        <v>SAN MATEO</v>
      </c>
      <c r="D1172" s="1" t="str">
        <f>"CA"</f>
        <v>CA</v>
      </c>
      <c r="E1172" s="2">
        <v>0</v>
      </c>
      <c r="F1172" s="2">
        <v>1</v>
      </c>
      <c r="G1172" s="2">
        <v>0</v>
      </c>
      <c r="H1172" s="2">
        <v>1</v>
      </c>
    </row>
    <row r="1173" spans="1:8" x14ac:dyDescent="0.25">
      <c r="A1173" s="1" t="str">
        <f>"61052"</f>
        <v>61052</v>
      </c>
      <c r="B1173" s="1" t="str">
        <f>"20994"</f>
        <v>20994</v>
      </c>
      <c r="C1173" s="1" t="str">
        <f>"MONROE CENTER"</f>
        <v>MONROE CENTER</v>
      </c>
      <c r="D1173" s="1" t="str">
        <f>"IL"</f>
        <v>IL</v>
      </c>
      <c r="E1173" s="2">
        <v>1</v>
      </c>
      <c r="F1173" s="2">
        <v>0</v>
      </c>
      <c r="G1173" s="2">
        <v>0</v>
      </c>
      <c r="H1173" s="2">
        <v>1</v>
      </c>
    </row>
    <row r="1174" spans="1:8" x14ac:dyDescent="0.25">
      <c r="A1174" s="1" t="str">
        <f>"19192"</f>
        <v>19192</v>
      </c>
      <c r="B1174" s="1" t="str">
        <f>"37964"</f>
        <v>37964</v>
      </c>
      <c r="C1174" s="1" t="str">
        <f>"PHILADELPHIA"</f>
        <v>PHILADELPHIA</v>
      </c>
      <c r="D1174" s="1" t="str">
        <f>"PA"</f>
        <v>PA</v>
      </c>
      <c r="E1174" s="2">
        <v>0</v>
      </c>
      <c r="F1174" s="2">
        <v>1</v>
      </c>
      <c r="G1174" s="2">
        <v>1</v>
      </c>
      <c r="H1174" s="2">
        <v>1</v>
      </c>
    </row>
    <row r="1175" spans="1:8" x14ac:dyDescent="0.25">
      <c r="A1175" s="1" t="str">
        <f>"07831"</f>
        <v>07831</v>
      </c>
      <c r="B1175" s="1" t="str">
        <f>"35084"</f>
        <v>35084</v>
      </c>
      <c r="C1175" s="1" t="str">
        <f>"CHANGEWATER"</f>
        <v>CHANGEWATER</v>
      </c>
      <c r="D1175" s="1" t="str">
        <f>"NJ"</f>
        <v>NJ</v>
      </c>
      <c r="E1175" s="2">
        <v>1</v>
      </c>
      <c r="F1175" s="2">
        <v>0</v>
      </c>
      <c r="G1175" s="2">
        <v>1</v>
      </c>
      <c r="H1175" s="2">
        <v>1</v>
      </c>
    </row>
    <row r="1176" spans="1:8" x14ac:dyDescent="0.25">
      <c r="A1176" s="1" t="str">
        <f>"20071"</f>
        <v>20071</v>
      </c>
      <c r="B1176" s="1" t="str">
        <f>"47894"</f>
        <v>47894</v>
      </c>
      <c r="C1176" s="1" t="str">
        <f>"WASHINGTON"</f>
        <v>WASHINGTON</v>
      </c>
      <c r="D1176" s="1" t="str">
        <f>"DC"</f>
        <v>DC</v>
      </c>
      <c r="E1176" s="2">
        <v>0</v>
      </c>
      <c r="F1176" s="2">
        <v>1</v>
      </c>
      <c r="G1176" s="2">
        <v>1</v>
      </c>
      <c r="H1176" s="2">
        <v>1</v>
      </c>
    </row>
    <row r="1177" spans="1:8" x14ac:dyDescent="0.25">
      <c r="A1177" s="1" t="str">
        <f>"18039"</f>
        <v>18039</v>
      </c>
      <c r="B1177" s="1" t="str">
        <f>"33874"</f>
        <v>33874</v>
      </c>
      <c r="C1177" s="1" t="str">
        <f>"DURHAM"</f>
        <v>DURHAM</v>
      </c>
      <c r="D1177" s="1" t="str">
        <f>"PA"</f>
        <v>PA</v>
      </c>
      <c r="E1177" s="2">
        <v>1</v>
      </c>
      <c r="F1177" s="2">
        <v>1</v>
      </c>
      <c r="G1177" s="2">
        <v>0</v>
      </c>
      <c r="H1177" s="2">
        <v>1</v>
      </c>
    </row>
    <row r="1178" spans="1:8" x14ac:dyDescent="0.25">
      <c r="A1178" s="1" t="str">
        <f>"20599"</f>
        <v>20599</v>
      </c>
      <c r="B1178" s="1" t="str">
        <f>"47894"</f>
        <v>47894</v>
      </c>
      <c r="C1178" s="1" t="str">
        <f>"WASHINGTON"</f>
        <v>WASHINGTON</v>
      </c>
      <c r="D1178" s="1" t="str">
        <f>"DC"</f>
        <v>DC</v>
      </c>
      <c r="E1178" s="2">
        <v>0</v>
      </c>
      <c r="F1178" s="2">
        <v>1</v>
      </c>
      <c r="G1178" s="2">
        <v>0</v>
      </c>
      <c r="H1178" s="2">
        <v>1</v>
      </c>
    </row>
    <row r="1179" spans="1:8" x14ac:dyDescent="0.25">
      <c r="A1179" s="1" t="str">
        <f>"20857"</f>
        <v>20857</v>
      </c>
      <c r="B1179" s="1" t="str">
        <f>"23224"</f>
        <v>23224</v>
      </c>
      <c r="C1179" s="1" t="str">
        <f>"ROCKVILLE"</f>
        <v>ROCKVILLE</v>
      </c>
      <c r="D1179" s="1" t="str">
        <f>"MD"</f>
        <v>MD</v>
      </c>
      <c r="E1179" s="2">
        <v>0</v>
      </c>
      <c r="F1179" s="2">
        <v>1</v>
      </c>
      <c r="G1179" s="2">
        <v>1</v>
      </c>
      <c r="H1179" s="2">
        <v>1</v>
      </c>
    </row>
    <row r="1180" spans="1:8" x14ac:dyDescent="0.25">
      <c r="A1180" s="1" t="str">
        <f>"01889"</f>
        <v>01889</v>
      </c>
      <c r="B1180" s="1" t="str">
        <f>"15764"</f>
        <v>15764</v>
      </c>
      <c r="C1180" s="1" t="str">
        <f>"NORTH READING"</f>
        <v>NORTH READING</v>
      </c>
      <c r="D1180" s="1" t="str">
        <f>"MA"</f>
        <v>MA</v>
      </c>
      <c r="E1180" s="2">
        <v>0</v>
      </c>
      <c r="F1180" s="2">
        <v>1</v>
      </c>
      <c r="G1180" s="2">
        <v>1</v>
      </c>
      <c r="H1180" s="2">
        <v>1</v>
      </c>
    </row>
    <row r="1181" spans="1:8" x14ac:dyDescent="0.25">
      <c r="A1181" s="1" t="str">
        <f>"20149"</f>
        <v>20149</v>
      </c>
      <c r="B1181" s="1" t="str">
        <f>"47894"</f>
        <v>47894</v>
      </c>
      <c r="C1181" s="1" t="str">
        <f>"ASHBURN"</f>
        <v>ASHBURN</v>
      </c>
      <c r="D1181" s="1" t="str">
        <f>"VA"</f>
        <v>VA</v>
      </c>
      <c r="E1181" s="2">
        <v>0</v>
      </c>
      <c r="F1181" s="2">
        <v>1</v>
      </c>
      <c r="G1181" s="2">
        <v>0</v>
      </c>
      <c r="H1181" s="2">
        <v>1</v>
      </c>
    </row>
    <row r="1182" spans="1:8" x14ac:dyDescent="0.25">
      <c r="A1182" s="1" t="str">
        <f>"20408"</f>
        <v>20408</v>
      </c>
      <c r="B1182" s="1" t="str">
        <f>"47894"</f>
        <v>47894</v>
      </c>
      <c r="C1182" s="1" t="str">
        <f>"WASHINGTON"</f>
        <v>WASHINGTON</v>
      </c>
      <c r="D1182" s="1" t="str">
        <f>"DC"</f>
        <v>DC</v>
      </c>
      <c r="E1182" s="2">
        <v>0</v>
      </c>
      <c r="F1182" s="2">
        <v>1</v>
      </c>
      <c r="G1182" s="2">
        <v>0</v>
      </c>
      <c r="H1182" s="2">
        <v>1</v>
      </c>
    </row>
    <row r="1183" spans="1:8" x14ac:dyDescent="0.25">
      <c r="A1183" s="1" t="str">
        <f>"20581"</f>
        <v>20581</v>
      </c>
      <c r="B1183" s="1" t="str">
        <f>"47894"</f>
        <v>47894</v>
      </c>
      <c r="C1183" s="1" t="str">
        <f>"WASHINGTON"</f>
        <v>WASHINGTON</v>
      </c>
      <c r="D1183" s="1" t="str">
        <f>"DC"</f>
        <v>DC</v>
      </c>
      <c r="E1183" s="2">
        <v>0</v>
      </c>
      <c r="F1183" s="2">
        <v>1</v>
      </c>
      <c r="G1183" s="2">
        <v>0</v>
      </c>
      <c r="H1183" s="2">
        <v>1</v>
      </c>
    </row>
    <row r="1184" spans="1:8" x14ac:dyDescent="0.25">
      <c r="A1184" s="1" t="str">
        <f>"20235"</f>
        <v>20235</v>
      </c>
      <c r="B1184" s="1" t="str">
        <f>"47894"</f>
        <v>47894</v>
      </c>
      <c r="C1184" s="1" t="str">
        <f>"WASHINGTON"</f>
        <v>WASHINGTON</v>
      </c>
      <c r="D1184" s="1" t="str">
        <f>"DC"</f>
        <v>DC</v>
      </c>
      <c r="E1184" s="2">
        <v>0</v>
      </c>
      <c r="F1184" s="2">
        <v>1</v>
      </c>
      <c r="G1184" s="2">
        <v>0</v>
      </c>
      <c r="H1184" s="2">
        <v>1</v>
      </c>
    </row>
    <row r="1185" spans="1:8" x14ac:dyDescent="0.25">
      <c r="A1185" s="1" t="str">
        <f>"20206"</f>
        <v>20206</v>
      </c>
      <c r="B1185" s="1" t="str">
        <f>"47894"</f>
        <v>47894</v>
      </c>
      <c r="C1185" s="1" t="str">
        <f>"WASHINGTON"</f>
        <v>WASHINGTON</v>
      </c>
      <c r="D1185" s="1" t="str">
        <f>"DC"</f>
        <v>DC</v>
      </c>
      <c r="E1185" s="2">
        <v>0</v>
      </c>
      <c r="F1185" s="2">
        <v>1</v>
      </c>
      <c r="G1185" s="2">
        <v>0</v>
      </c>
      <c r="H1185" s="2">
        <v>1</v>
      </c>
    </row>
    <row r="1186" spans="1:8" x14ac:dyDescent="0.25">
      <c r="A1186" s="1" t="str">
        <f>"11381"</f>
        <v>11381</v>
      </c>
      <c r="B1186" s="1" t="str">
        <f>"35614"</f>
        <v>35614</v>
      </c>
      <c r="C1186" s="1" t="str">
        <f>"FLUSHING"</f>
        <v>FLUSHING</v>
      </c>
      <c r="D1186" s="1" t="str">
        <f>"NY"</f>
        <v>NY</v>
      </c>
      <c r="E1186" s="2">
        <v>0</v>
      </c>
      <c r="F1186" s="2">
        <v>1</v>
      </c>
      <c r="G1186" s="2">
        <v>1</v>
      </c>
      <c r="H1186" s="2">
        <v>1</v>
      </c>
    </row>
    <row r="1187" spans="1:8" x14ac:dyDescent="0.25">
      <c r="A1187" s="1" t="str">
        <f>"76203"</f>
        <v>76203</v>
      </c>
      <c r="B1187" s="1" t="str">
        <f>"19124"</f>
        <v>19124</v>
      </c>
      <c r="C1187" s="1" t="str">
        <f>"DENTON"</f>
        <v>DENTON</v>
      </c>
      <c r="D1187" s="1" t="str">
        <f>"TX"</f>
        <v>TX</v>
      </c>
      <c r="E1187" s="2">
        <v>0</v>
      </c>
      <c r="F1187" s="2">
        <v>1</v>
      </c>
      <c r="G1187" s="2">
        <v>0</v>
      </c>
      <c r="H1187" s="2">
        <v>1</v>
      </c>
    </row>
    <row r="1188" spans="1:8" x14ac:dyDescent="0.25">
      <c r="A1188" s="1" t="str">
        <f>"10117"</f>
        <v>10117</v>
      </c>
      <c r="B1188" s="1" t="str">
        <f>"35614"</f>
        <v>35614</v>
      </c>
      <c r="C1188" s="1" t="str">
        <f>"NEW YORK"</f>
        <v>NEW YORK</v>
      </c>
      <c r="D1188" s="1" t="str">
        <f>"NY"</f>
        <v>NY</v>
      </c>
      <c r="E1188" s="2">
        <v>0</v>
      </c>
      <c r="F1188" s="2">
        <v>0</v>
      </c>
      <c r="G1188" s="2">
        <v>1</v>
      </c>
      <c r="H1188" s="2">
        <v>1</v>
      </c>
    </row>
    <row r="1189" spans="1:8" x14ac:dyDescent="0.25">
      <c r="A1189" s="1" t="str">
        <f>"20053"</f>
        <v>20053</v>
      </c>
      <c r="B1189" s="1" t="str">
        <f>"47894"</f>
        <v>47894</v>
      </c>
      <c r="C1189" s="1" t="str">
        <f>"WASHINGTON"</f>
        <v>WASHINGTON</v>
      </c>
      <c r="D1189" s="1" t="str">
        <f>"DC"</f>
        <v>DC</v>
      </c>
      <c r="E1189" s="2">
        <v>0</v>
      </c>
      <c r="F1189" s="2">
        <v>1</v>
      </c>
      <c r="G1189" s="2">
        <v>0</v>
      </c>
      <c r="H1189" s="2">
        <v>1</v>
      </c>
    </row>
    <row r="1190" spans="1:8" x14ac:dyDescent="0.25">
      <c r="A1190" s="1" t="str">
        <f>"20758"</f>
        <v>20758</v>
      </c>
      <c r="B1190" s="1" t="str">
        <f>"47894"</f>
        <v>47894</v>
      </c>
      <c r="C1190" s="1" t="str">
        <f>"FRIENDSHIP"</f>
        <v>FRIENDSHIP</v>
      </c>
      <c r="D1190" s="1" t="str">
        <f>"MD"</f>
        <v>MD</v>
      </c>
      <c r="E1190" s="2">
        <v>1</v>
      </c>
      <c r="F1190" s="2">
        <v>0</v>
      </c>
      <c r="G1190" s="2">
        <v>0</v>
      </c>
      <c r="H1190" s="2">
        <v>1</v>
      </c>
    </row>
    <row r="1191" spans="1:8" x14ac:dyDescent="0.25">
      <c r="A1191" s="1" t="str">
        <f>"10203"</f>
        <v>10203</v>
      </c>
      <c r="B1191" s="1" t="str">
        <f>"35614"</f>
        <v>35614</v>
      </c>
      <c r="C1191" s="1" t="str">
        <f>"NEW YORK"</f>
        <v>NEW YORK</v>
      </c>
      <c r="D1191" s="1" t="str">
        <f>"NY"</f>
        <v>NY</v>
      </c>
      <c r="E1191" s="2">
        <v>0</v>
      </c>
      <c r="F1191" s="2">
        <v>0</v>
      </c>
      <c r="G1191" s="2">
        <v>1</v>
      </c>
      <c r="H1191" s="2">
        <v>1</v>
      </c>
    </row>
    <row r="1192" spans="1:8" x14ac:dyDescent="0.25">
      <c r="A1192" s="1" t="str">
        <f>"19897"</f>
        <v>19897</v>
      </c>
      <c r="B1192" s="1" t="str">
        <f>"48864"</f>
        <v>48864</v>
      </c>
      <c r="C1192" s="1" t="str">
        <f>"WILMINGTON"</f>
        <v>WILMINGTON</v>
      </c>
      <c r="D1192" s="1" t="str">
        <f>"DE"</f>
        <v>DE</v>
      </c>
      <c r="E1192" s="2">
        <v>0</v>
      </c>
      <c r="F1192" s="2">
        <v>1</v>
      </c>
      <c r="G1192" s="2">
        <v>0</v>
      </c>
      <c r="H1192" s="2">
        <v>1</v>
      </c>
    </row>
    <row r="1193" spans="1:8" x14ac:dyDescent="0.25">
      <c r="A1193" s="1" t="str">
        <f>"20390"</f>
        <v>20390</v>
      </c>
      <c r="B1193" s="1" t="str">
        <f>"47894"</f>
        <v>47894</v>
      </c>
      <c r="C1193" s="1" t="str">
        <f>"WASHINGTON"</f>
        <v>WASHINGTON</v>
      </c>
      <c r="D1193" s="1" t="str">
        <f>"DC"</f>
        <v>DC</v>
      </c>
      <c r="E1193" s="2">
        <v>0</v>
      </c>
      <c r="F1193" s="2">
        <v>1</v>
      </c>
      <c r="G1193" s="2">
        <v>0</v>
      </c>
      <c r="H1193" s="2">
        <v>1</v>
      </c>
    </row>
    <row r="1194" spans="1:8" x14ac:dyDescent="0.25">
      <c r="A1194" s="1" t="str">
        <f>"19345"</f>
        <v>19345</v>
      </c>
      <c r="B1194" s="1" t="str">
        <f>"33874"</f>
        <v>33874</v>
      </c>
      <c r="C1194" s="1" t="str">
        <f>"IMMACULATA"</f>
        <v>IMMACULATA</v>
      </c>
      <c r="D1194" s="1" t="str">
        <f>"PA"</f>
        <v>PA</v>
      </c>
      <c r="E1194" s="2">
        <v>0</v>
      </c>
      <c r="F1194" s="2">
        <v>1</v>
      </c>
      <c r="G1194" s="2">
        <v>0</v>
      </c>
      <c r="H1194" s="2">
        <v>1</v>
      </c>
    </row>
    <row r="1195" spans="1:8" x14ac:dyDescent="0.25">
      <c r="A1195" s="1" t="str">
        <f>"18943"</f>
        <v>18943</v>
      </c>
      <c r="B1195" s="1" t="str">
        <f>"33874"</f>
        <v>33874</v>
      </c>
      <c r="C1195" s="1" t="str">
        <f>"PENNS PARK"</f>
        <v>PENNS PARK</v>
      </c>
      <c r="D1195" s="1" t="str">
        <f>"PA"</f>
        <v>PA</v>
      </c>
      <c r="E1195" s="2">
        <v>0</v>
      </c>
      <c r="F1195" s="2">
        <v>0</v>
      </c>
      <c r="G1195" s="2">
        <v>1</v>
      </c>
      <c r="H1195" s="2">
        <v>1</v>
      </c>
    </row>
    <row r="1196" spans="1:8" x14ac:dyDescent="0.25">
      <c r="A1196" s="1" t="str">
        <f>"01760"</f>
        <v>01760</v>
      </c>
      <c r="B1196" s="1" t="str">
        <f>"14454"</f>
        <v>14454</v>
      </c>
      <c r="C1196" s="1" t="str">
        <f>"NATICK"</f>
        <v>NATICK</v>
      </c>
      <c r="D1196" s="1" t="str">
        <f t="shared" ref="D1196:D1203" si="83">"MA"</f>
        <v>MA</v>
      </c>
      <c r="E1196" s="2">
        <v>6.8956870611835497E-4</v>
      </c>
      <c r="F1196" s="2">
        <v>0</v>
      </c>
      <c r="G1196" s="2">
        <v>0</v>
      </c>
      <c r="H1196" s="2">
        <v>5.7636887608069102E-4</v>
      </c>
    </row>
    <row r="1197" spans="1:8" x14ac:dyDescent="0.25">
      <c r="A1197" s="1" t="str">
        <f>"01760"</f>
        <v>01760</v>
      </c>
      <c r="B1197" s="1" t="str">
        <f>"15764"</f>
        <v>15764</v>
      </c>
      <c r="C1197" s="1" t="str">
        <f>"NATICK"</f>
        <v>NATICK</v>
      </c>
      <c r="D1197" s="1" t="str">
        <f t="shared" si="83"/>
        <v>MA</v>
      </c>
      <c r="E1197" s="2">
        <v>0.99931043129388097</v>
      </c>
      <c r="F1197" s="2">
        <v>1</v>
      </c>
      <c r="G1197" s="2">
        <v>1</v>
      </c>
      <c r="H1197" s="2">
        <v>0.99942363112391897</v>
      </c>
    </row>
    <row r="1198" spans="1:8" x14ac:dyDescent="0.25">
      <c r="A1198" s="1" t="str">
        <f>"01827"</f>
        <v>01827</v>
      </c>
      <c r="B1198" s="1" t="str">
        <f>"15764"</f>
        <v>15764</v>
      </c>
      <c r="C1198" s="1" t="str">
        <f>"DUNSTABLE"</f>
        <v>DUNSTABLE</v>
      </c>
      <c r="D1198" s="1" t="str">
        <f t="shared" si="83"/>
        <v>MA</v>
      </c>
      <c r="E1198" s="2">
        <v>1</v>
      </c>
      <c r="F1198" s="2">
        <v>1</v>
      </c>
      <c r="G1198" s="2">
        <v>1</v>
      </c>
      <c r="H1198" s="2">
        <v>1</v>
      </c>
    </row>
    <row r="1199" spans="1:8" x14ac:dyDescent="0.25">
      <c r="A1199" s="1" t="str">
        <f>"02110"</f>
        <v>02110</v>
      </c>
      <c r="B1199" s="1" t="str">
        <f>"14454"</f>
        <v>14454</v>
      </c>
      <c r="C1199" s="1" t="str">
        <f>"BOSTON"</f>
        <v>BOSTON</v>
      </c>
      <c r="D1199" s="1" t="str">
        <f t="shared" si="83"/>
        <v>MA</v>
      </c>
      <c r="E1199" s="2">
        <v>1</v>
      </c>
      <c r="F1199" s="2">
        <v>1</v>
      </c>
      <c r="G1199" s="2">
        <v>1</v>
      </c>
      <c r="H1199" s="2">
        <v>1</v>
      </c>
    </row>
    <row r="1200" spans="1:8" x14ac:dyDescent="0.25">
      <c r="A1200" s="1" t="str">
        <f>"02149"</f>
        <v>02149</v>
      </c>
      <c r="B1200" s="1" t="str">
        <f>"14454"</f>
        <v>14454</v>
      </c>
      <c r="C1200" s="1" t="str">
        <f>"EVERETT"</f>
        <v>EVERETT</v>
      </c>
      <c r="D1200" s="1" t="str">
        <f t="shared" si="83"/>
        <v>MA</v>
      </c>
      <c r="E1200" s="2">
        <v>0</v>
      </c>
      <c r="F1200" s="2">
        <v>6.8399452804377499E-4</v>
      </c>
      <c r="G1200" s="2">
        <v>0</v>
      </c>
      <c r="H1200" s="2">
        <v>4.7431579945927897E-5</v>
      </c>
    </row>
    <row r="1201" spans="1:8" x14ac:dyDescent="0.25">
      <c r="A1201" s="1" t="str">
        <f>"02149"</f>
        <v>02149</v>
      </c>
      <c r="B1201" s="1" t="str">
        <f>"15764"</f>
        <v>15764</v>
      </c>
      <c r="C1201" s="1" t="str">
        <f>"EVERETT"</f>
        <v>EVERETT</v>
      </c>
      <c r="D1201" s="1" t="str">
        <f t="shared" si="83"/>
        <v>MA</v>
      </c>
      <c r="E1201" s="2">
        <v>1</v>
      </c>
      <c r="F1201" s="2">
        <v>0.99931600547195598</v>
      </c>
      <c r="G1201" s="2">
        <v>1</v>
      </c>
      <c r="H1201" s="2">
        <v>0.99995256842005398</v>
      </c>
    </row>
    <row r="1202" spans="1:8" x14ac:dyDescent="0.25">
      <c r="A1202" s="1" t="str">
        <f>"02215"</f>
        <v>02215</v>
      </c>
      <c r="B1202" s="1" t="str">
        <f>"14454"</f>
        <v>14454</v>
      </c>
      <c r="C1202" s="1" t="str">
        <f>"BOSTON"</f>
        <v>BOSTON</v>
      </c>
      <c r="D1202" s="1" t="str">
        <f t="shared" si="83"/>
        <v>MA</v>
      </c>
      <c r="E1202" s="2">
        <v>1</v>
      </c>
      <c r="F1202" s="2">
        <v>1</v>
      </c>
      <c r="G1202" s="2">
        <v>1</v>
      </c>
      <c r="H1202" s="2">
        <v>1</v>
      </c>
    </row>
    <row r="1203" spans="1:8" x14ac:dyDescent="0.25">
      <c r="A1203" s="1" t="str">
        <f>"02492"</f>
        <v>02492</v>
      </c>
      <c r="B1203" s="1" t="str">
        <f>"14454"</f>
        <v>14454</v>
      </c>
      <c r="C1203" s="1" t="str">
        <f>"NEEDHAM"</f>
        <v>NEEDHAM</v>
      </c>
      <c r="D1203" s="1" t="str">
        <f t="shared" si="83"/>
        <v>MA</v>
      </c>
      <c r="E1203" s="2">
        <v>1</v>
      </c>
      <c r="F1203" s="2">
        <v>1</v>
      </c>
      <c r="G1203" s="2">
        <v>1</v>
      </c>
      <c r="H1203" s="2">
        <v>1</v>
      </c>
    </row>
    <row r="1204" spans="1:8" x14ac:dyDescent="0.25">
      <c r="A1204" s="1" t="str">
        <f>"03821"</f>
        <v>03821</v>
      </c>
      <c r="B1204" s="1" t="str">
        <f>"40484"</f>
        <v>40484</v>
      </c>
      <c r="C1204" s="1" t="str">
        <f>"DOVER"</f>
        <v>DOVER</v>
      </c>
      <c r="D1204" s="1" t="str">
        <f>"NH"</f>
        <v>NH</v>
      </c>
      <c r="E1204" s="2">
        <v>1</v>
      </c>
      <c r="F1204" s="2">
        <v>1</v>
      </c>
      <c r="G1204" s="2">
        <v>1</v>
      </c>
      <c r="H1204" s="2">
        <v>1</v>
      </c>
    </row>
    <row r="1205" spans="1:8" x14ac:dyDescent="0.25">
      <c r="A1205" s="1" t="str">
        <f>"03819"</f>
        <v>03819</v>
      </c>
      <c r="B1205" s="1" t="str">
        <f>"40484"</f>
        <v>40484</v>
      </c>
      <c r="C1205" s="1" t="str">
        <f>"DANVILLE"</f>
        <v>DANVILLE</v>
      </c>
      <c r="D1205" s="1" t="str">
        <f>"NH"</f>
        <v>NH</v>
      </c>
      <c r="E1205" s="2">
        <v>1</v>
      </c>
      <c r="F1205" s="2">
        <v>1</v>
      </c>
      <c r="G1205" s="2">
        <v>1</v>
      </c>
      <c r="H1205" s="2">
        <v>1</v>
      </c>
    </row>
    <row r="1206" spans="1:8" x14ac:dyDescent="0.25">
      <c r="A1206" s="1" t="str">
        <f>"03866"</f>
        <v>03866</v>
      </c>
      <c r="B1206" s="1" t="str">
        <f>"40484"</f>
        <v>40484</v>
      </c>
      <c r="C1206" s="1" t="str">
        <f>"ROCHESTER"</f>
        <v>ROCHESTER</v>
      </c>
      <c r="D1206" s="1" t="str">
        <f>"NH"</f>
        <v>NH</v>
      </c>
      <c r="E1206" s="2">
        <v>1</v>
      </c>
      <c r="F1206" s="2">
        <v>1</v>
      </c>
      <c r="G1206" s="2">
        <v>1</v>
      </c>
      <c r="H1206" s="2">
        <v>1</v>
      </c>
    </row>
    <row r="1207" spans="1:8" x14ac:dyDescent="0.25">
      <c r="A1207" s="1" t="str">
        <f>"07019"</f>
        <v>07019</v>
      </c>
      <c r="B1207" s="1" t="str">
        <f>"35084"</f>
        <v>35084</v>
      </c>
      <c r="C1207" s="1" t="str">
        <f>"EAST ORANGE"</f>
        <v>EAST ORANGE</v>
      </c>
      <c r="D1207" s="1" t="str">
        <f t="shared" ref="D1207:D1222" si="84">"NJ"</f>
        <v>NJ</v>
      </c>
      <c r="E1207" s="2">
        <v>1</v>
      </c>
      <c r="F1207" s="2">
        <v>1</v>
      </c>
      <c r="G1207" s="2">
        <v>1</v>
      </c>
      <c r="H1207" s="2">
        <v>1</v>
      </c>
    </row>
    <row r="1208" spans="1:8" x14ac:dyDescent="0.25">
      <c r="A1208" s="1" t="str">
        <f>"07069"</f>
        <v>07069</v>
      </c>
      <c r="B1208" s="1" t="str">
        <f>"35154"</f>
        <v>35154</v>
      </c>
      <c r="C1208" s="1" t="str">
        <f>"WATCHUNG"</f>
        <v>WATCHUNG</v>
      </c>
      <c r="D1208" s="1" t="str">
        <f t="shared" si="84"/>
        <v>NJ</v>
      </c>
      <c r="E1208" s="2">
        <v>1</v>
      </c>
      <c r="F1208" s="2">
        <v>0.99686520376175503</v>
      </c>
      <c r="G1208" s="2">
        <v>0.99130434782608601</v>
      </c>
      <c r="H1208" s="2">
        <v>0.99931623931623903</v>
      </c>
    </row>
    <row r="1209" spans="1:8" x14ac:dyDescent="0.25">
      <c r="A1209" s="1" t="str">
        <f>"07069"</f>
        <v>07069</v>
      </c>
      <c r="B1209" s="1" t="str">
        <f>"35084"</f>
        <v>35084</v>
      </c>
      <c r="C1209" s="1" t="str">
        <f>"WATCHUNG"</f>
        <v>WATCHUNG</v>
      </c>
      <c r="D1209" s="1" t="str">
        <f t="shared" si="84"/>
        <v>NJ</v>
      </c>
      <c r="E1209" s="2">
        <v>0</v>
      </c>
      <c r="F1209" s="2">
        <v>3.1347962382445101E-3</v>
      </c>
      <c r="G1209" s="2">
        <v>8.6956521739130401E-3</v>
      </c>
      <c r="H1209" s="2">
        <v>6.83760683760683E-4</v>
      </c>
    </row>
    <row r="1210" spans="1:8" x14ac:dyDescent="0.25">
      <c r="A1210" s="1" t="str">
        <f>"07076"</f>
        <v>07076</v>
      </c>
      <c r="B1210" s="1" t="str">
        <f>"35084"</f>
        <v>35084</v>
      </c>
      <c r="C1210" s="1" t="str">
        <f>"SCOTCH PLAINS"</f>
        <v>SCOTCH PLAINS</v>
      </c>
      <c r="D1210" s="1" t="str">
        <f t="shared" si="84"/>
        <v>NJ</v>
      </c>
      <c r="E1210" s="2">
        <v>0.99989744641575196</v>
      </c>
      <c r="F1210" s="2">
        <v>0.99426111908177905</v>
      </c>
      <c r="G1210" s="2">
        <v>1</v>
      </c>
      <c r="H1210" s="2">
        <v>0.99953091284360596</v>
      </c>
    </row>
    <row r="1211" spans="1:8" x14ac:dyDescent="0.25">
      <c r="A1211" s="1" t="str">
        <f>"07076"</f>
        <v>07076</v>
      </c>
      <c r="B1211" s="1" t="str">
        <f>"35154"</f>
        <v>35154</v>
      </c>
      <c r="C1211" s="1" t="str">
        <f>"SCOTCH PLAINS"</f>
        <v>SCOTCH PLAINS</v>
      </c>
      <c r="D1211" s="1" t="str">
        <f t="shared" si="84"/>
        <v>NJ</v>
      </c>
      <c r="E1211" s="2">
        <v>1.02553584247769E-4</v>
      </c>
      <c r="F1211" s="2">
        <v>5.7388809182209403E-3</v>
      </c>
      <c r="G1211" s="2">
        <v>0</v>
      </c>
      <c r="H1211" s="2">
        <v>4.6908715639365701E-4</v>
      </c>
    </row>
    <row r="1212" spans="1:8" x14ac:dyDescent="0.25">
      <c r="A1212" s="1" t="str">
        <f>"07470"</f>
        <v>07470</v>
      </c>
      <c r="B1212" s="1" t="str">
        <f>"35614"</f>
        <v>35614</v>
      </c>
      <c r="C1212" s="1" t="str">
        <f>"WAYNE"</f>
        <v>WAYNE</v>
      </c>
      <c r="D1212" s="1" t="str">
        <f t="shared" si="84"/>
        <v>NJ</v>
      </c>
      <c r="E1212" s="2">
        <v>1</v>
      </c>
      <c r="F1212" s="2">
        <v>1</v>
      </c>
      <c r="G1212" s="2">
        <v>1</v>
      </c>
      <c r="H1212" s="2">
        <v>1</v>
      </c>
    </row>
    <row r="1213" spans="1:8" x14ac:dyDescent="0.25">
      <c r="A1213" s="1" t="str">
        <f>"07601"</f>
        <v>07601</v>
      </c>
      <c r="B1213" s="1" t="str">
        <f>"35614"</f>
        <v>35614</v>
      </c>
      <c r="C1213" s="1" t="str">
        <f>"HACKENSACK"</f>
        <v>HACKENSACK</v>
      </c>
      <c r="D1213" s="1" t="str">
        <f t="shared" si="84"/>
        <v>NJ</v>
      </c>
      <c r="E1213" s="2">
        <v>1</v>
      </c>
      <c r="F1213" s="2">
        <v>1</v>
      </c>
      <c r="G1213" s="2">
        <v>1</v>
      </c>
      <c r="H1213" s="2">
        <v>1</v>
      </c>
    </row>
    <row r="1214" spans="1:8" x14ac:dyDescent="0.25">
      <c r="A1214" s="1" t="str">
        <f>"07621"</f>
        <v>07621</v>
      </c>
      <c r="B1214" s="1" t="str">
        <f>"35614"</f>
        <v>35614</v>
      </c>
      <c r="C1214" s="1" t="str">
        <f>"BERGENFIELD"</f>
        <v>BERGENFIELD</v>
      </c>
      <c r="D1214" s="1" t="str">
        <f t="shared" si="84"/>
        <v>NJ</v>
      </c>
      <c r="E1214" s="2">
        <v>1</v>
      </c>
      <c r="F1214" s="2">
        <v>1</v>
      </c>
      <c r="G1214" s="2">
        <v>1</v>
      </c>
      <c r="H1214" s="2">
        <v>1</v>
      </c>
    </row>
    <row r="1215" spans="1:8" x14ac:dyDescent="0.25">
      <c r="A1215" s="1" t="str">
        <f>"07728"</f>
        <v>07728</v>
      </c>
      <c r="B1215" s="1" t="str">
        <f>"35154"</f>
        <v>35154</v>
      </c>
      <c r="C1215" s="1" t="str">
        <f>"FREEHOLD"</f>
        <v>FREEHOLD</v>
      </c>
      <c r="D1215" s="1" t="str">
        <f t="shared" si="84"/>
        <v>NJ</v>
      </c>
      <c r="E1215" s="2">
        <v>1</v>
      </c>
      <c r="F1215" s="2">
        <v>1</v>
      </c>
      <c r="G1215" s="2">
        <v>1</v>
      </c>
      <c r="H1215" s="2">
        <v>1</v>
      </c>
    </row>
    <row r="1216" spans="1:8" x14ac:dyDescent="0.25">
      <c r="A1216" s="1" t="str">
        <f>"07960"</f>
        <v>07960</v>
      </c>
      <c r="B1216" s="1" t="str">
        <f>"35084"</f>
        <v>35084</v>
      </c>
      <c r="C1216" s="1" t="str">
        <f>"MORRISTOWN"</f>
        <v>MORRISTOWN</v>
      </c>
      <c r="D1216" s="1" t="str">
        <f t="shared" si="84"/>
        <v>NJ</v>
      </c>
      <c r="E1216" s="2">
        <v>1</v>
      </c>
      <c r="F1216" s="2">
        <v>1</v>
      </c>
      <c r="G1216" s="2">
        <v>1</v>
      </c>
      <c r="H1216" s="2">
        <v>1</v>
      </c>
    </row>
    <row r="1217" spans="1:8" x14ac:dyDescent="0.25">
      <c r="A1217" s="1" t="str">
        <f>"08030"</f>
        <v>08030</v>
      </c>
      <c r="B1217" s="1" t="str">
        <f>"15804"</f>
        <v>15804</v>
      </c>
      <c r="C1217" s="1" t="str">
        <f>"GLOUCESTER CITY"</f>
        <v>GLOUCESTER CITY</v>
      </c>
      <c r="D1217" s="1" t="str">
        <f t="shared" si="84"/>
        <v>NJ</v>
      </c>
      <c r="E1217" s="2">
        <v>1</v>
      </c>
      <c r="F1217" s="2">
        <v>1</v>
      </c>
      <c r="G1217" s="2">
        <v>1</v>
      </c>
      <c r="H1217" s="2">
        <v>1</v>
      </c>
    </row>
    <row r="1218" spans="1:8" x14ac:dyDescent="0.25">
      <c r="A1218" s="1" t="str">
        <f>"08062"</f>
        <v>08062</v>
      </c>
      <c r="B1218" s="1" t="str">
        <f>"15804"</f>
        <v>15804</v>
      </c>
      <c r="C1218" s="1" t="str">
        <f>"MULLICA HILL"</f>
        <v>MULLICA HILL</v>
      </c>
      <c r="D1218" s="1" t="str">
        <f t="shared" si="84"/>
        <v>NJ</v>
      </c>
      <c r="E1218" s="2">
        <v>1</v>
      </c>
      <c r="F1218" s="2">
        <v>1</v>
      </c>
      <c r="G1218" s="2">
        <v>1</v>
      </c>
      <c r="H1218" s="2">
        <v>1</v>
      </c>
    </row>
    <row r="1219" spans="1:8" x14ac:dyDescent="0.25">
      <c r="A1219" s="1" t="str">
        <f>"08505"</f>
        <v>08505</v>
      </c>
      <c r="B1219" s="1" t="str">
        <f>"15804"</f>
        <v>15804</v>
      </c>
      <c r="C1219" s="1" t="str">
        <f>"BORDENTOWN"</f>
        <v>BORDENTOWN</v>
      </c>
      <c r="D1219" s="1" t="str">
        <f t="shared" si="84"/>
        <v>NJ</v>
      </c>
      <c r="E1219" s="2">
        <v>1</v>
      </c>
      <c r="F1219" s="2">
        <v>1</v>
      </c>
      <c r="G1219" s="2">
        <v>1</v>
      </c>
      <c r="H1219" s="2">
        <v>1</v>
      </c>
    </row>
    <row r="1220" spans="1:8" x14ac:dyDescent="0.25">
      <c r="A1220" s="1" t="str">
        <f>"08344"</f>
        <v>08344</v>
      </c>
      <c r="B1220" s="1" t="str">
        <f>"15804"</f>
        <v>15804</v>
      </c>
      <c r="C1220" s="1" t="str">
        <f>"NEWFIELD"</f>
        <v>NEWFIELD</v>
      </c>
      <c r="D1220" s="1" t="str">
        <f t="shared" si="84"/>
        <v>NJ</v>
      </c>
      <c r="E1220" s="2">
        <v>0.92391728443230503</v>
      </c>
      <c r="F1220" s="2">
        <v>0.96</v>
      </c>
      <c r="G1220" s="2">
        <v>0.84615384615384603</v>
      </c>
      <c r="H1220" s="2">
        <v>0.92547033285094005</v>
      </c>
    </row>
    <row r="1221" spans="1:8" x14ac:dyDescent="0.25">
      <c r="A1221" s="1" t="str">
        <f>"08344"</f>
        <v>08344</v>
      </c>
      <c r="B1221" s="1" t="str">
        <f>"48864"</f>
        <v>48864</v>
      </c>
      <c r="C1221" s="1" t="str">
        <f>"NEWFIELD"</f>
        <v>NEWFIELD</v>
      </c>
      <c r="D1221" s="1" t="str">
        <f t="shared" si="84"/>
        <v>NJ</v>
      </c>
      <c r="E1221" s="2">
        <v>7.6082715567694095E-2</v>
      </c>
      <c r="F1221" s="2">
        <v>0.04</v>
      </c>
      <c r="G1221" s="2">
        <v>0.15384615384615299</v>
      </c>
      <c r="H1221" s="2">
        <v>7.45296671490593E-2</v>
      </c>
    </row>
    <row r="1222" spans="1:8" x14ac:dyDescent="0.25">
      <c r="A1222" s="1" t="str">
        <f>"08751"</f>
        <v>08751</v>
      </c>
      <c r="B1222" s="1" t="str">
        <f>"35154"</f>
        <v>35154</v>
      </c>
      <c r="C1222" s="1" t="str">
        <f>"SEASIDE HEIGHTS"</f>
        <v>SEASIDE HEIGHTS</v>
      </c>
      <c r="D1222" s="1" t="str">
        <f t="shared" si="84"/>
        <v>NJ</v>
      </c>
      <c r="E1222" s="2">
        <v>1</v>
      </c>
      <c r="F1222" s="2">
        <v>1</v>
      </c>
      <c r="G1222" s="2">
        <v>1</v>
      </c>
      <c r="H1222" s="2">
        <v>1</v>
      </c>
    </row>
    <row r="1223" spans="1:8" x14ac:dyDescent="0.25">
      <c r="A1223" s="1" t="str">
        <f>"11229"</f>
        <v>11229</v>
      </c>
      <c r="B1223" s="1" t="str">
        <f>"35614"</f>
        <v>35614</v>
      </c>
      <c r="C1223" s="1" t="str">
        <f>"BROOKLYN"</f>
        <v>BROOKLYN</v>
      </c>
      <c r="D1223" s="1" t="str">
        <f t="shared" ref="D1223:D1237" si="85">"NY"</f>
        <v>NY</v>
      </c>
      <c r="E1223" s="2">
        <v>1</v>
      </c>
      <c r="F1223" s="2">
        <v>1</v>
      </c>
      <c r="G1223" s="2">
        <v>1</v>
      </c>
      <c r="H1223" s="2">
        <v>1</v>
      </c>
    </row>
    <row r="1224" spans="1:8" x14ac:dyDescent="0.25">
      <c r="A1224" s="1" t="str">
        <f>"11427"</f>
        <v>11427</v>
      </c>
      <c r="B1224" s="1" t="str">
        <f>"35614"</f>
        <v>35614</v>
      </c>
      <c r="C1224" s="1" t="str">
        <f>"QUEENS VILLAGE"</f>
        <v>QUEENS VILLAGE</v>
      </c>
      <c r="D1224" s="1" t="str">
        <f t="shared" si="85"/>
        <v>NY</v>
      </c>
      <c r="E1224" s="2">
        <v>1</v>
      </c>
      <c r="F1224" s="2">
        <v>1</v>
      </c>
      <c r="G1224" s="2">
        <v>1</v>
      </c>
      <c r="H1224" s="2">
        <v>1</v>
      </c>
    </row>
    <row r="1225" spans="1:8" x14ac:dyDescent="0.25">
      <c r="A1225" s="1" t="str">
        <f>"11413"</f>
        <v>11413</v>
      </c>
      <c r="B1225" s="1" t="str">
        <f>"35614"</f>
        <v>35614</v>
      </c>
      <c r="C1225" s="1" t="str">
        <f>"SPRINGFIELD GARDENS"</f>
        <v>SPRINGFIELD GARDENS</v>
      </c>
      <c r="D1225" s="1" t="str">
        <f t="shared" si="85"/>
        <v>NY</v>
      </c>
      <c r="E1225" s="2">
        <v>1</v>
      </c>
      <c r="F1225" s="2">
        <v>1</v>
      </c>
      <c r="G1225" s="2">
        <v>1</v>
      </c>
      <c r="H1225" s="2">
        <v>1</v>
      </c>
    </row>
    <row r="1226" spans="1:8" x14ac:dyDescent="0.25">
      <c r="A1226" s="1" t="str">
        <f>"11566"</f>
        <v>11566</v>
      </c>
      <c r="B1226" s="1" t="str">
        <f>"35004"</f>
        <v>35004</v>
      </c>
      <c r="C1226" s="1" t="str">
        <f>"MERRICK"</f>
        <v>MERRICK</v>
      </c>
      <c r="D1226" s="1" t="str">
        <f t="shared" si="85"/>
        <v>NY</v>
      </c>
      <c r="E1226" s="2">
        <v>1</v>
      </c>
      <c r="F1226" s="2">
        <v>1</v>
      </c>
      <c r="G1226" s="2">
        <v>1</v>
      </c>
      <c r="H1226" s="2">
        <v>1</v>
      </c>
    </row>
    <row r="1227" spans="1:8" x14ac:dyDescent="0.25">
      <c r="A1227" s="1" t="str">
        <f>"11717"</f>
        <v>11717</v>
      </c>
      <c r="B1227" s="1" t="str">
        <f>"35004"</f>
        <v>35004</v>
      </c>
      <c r="C1227" s="1" t="str">
        <f>"BRENTWOOD"</f>
        <v>BRENTWOOD</v>
      </c>
      <c r="D1227" s="1" t="str">
        <f t="shared" si="85"/>
        <v>NY</v>
      </c>
      <c r="E1227" s="2">
        <v>1</v>
      </c>
      <c r="F1227" s="2">
        <v>1</v>
      </c>
      <c r="G1227" s="2">
        <v>1</v>
      </c>
      <c r="H1227" s="2">
        <v>1</v>
      </c>
    </row>
    <row r="1228" spans="1:8" x14ac:dyDescent="0.25">
      <c r="A1228" s="1" t="str">
        <f>"11705"</f>
        <v>11705</v>
      </c>
      <c r="B1228" s="1" t="str">
        <f>"35004"</f>
        <v>35004</v>
      </c>
      <c r="C1228" s="1" t="str">
        <f>"BAYPORT"</f>
        <v>BAYPORT</v>
      </c>
      <c r="D1228" s="1" t="str">
        <f t="shared" si="85"/>
        <v>NY</v>
      </c>
      <c r="E1228" s="2">
        <v>1</v>
      </c>
      <c r="F1228" s="2">
        <v>1</v>
      </c>
      <c r="G1228" s="2">
        <v>1</v>
      </c>
      <c r="H1228" s="2">
        <v>1</v>
      </c>
    </row>
    <row r="1229" spans="1:8" x14ac:dyDescent="0.25">
      <c r="A1229" s="1" t="str">
        <f>"11758"</f>
        <v>11758</v>
      </c>
      <c r="B1229" s="1" t="str">
        <f>"35004"</f>
        <v>35004</v>
      </c>
      <c r="C1229" s="1" t="str">
        <f>"MASSAPEQUA"</f>
        <v>MASSAPEQUA</v>
      </c>
      <c r="D1229" s="1" t="str">
        <f t="shared" si="85"/>
        <v>NY</v>
      </c>
      <c r="E1229" s="2">
        <v>1</v>
      </c>
      <c r="F1229" s="2">
        <v>1</v>
      </c>
      <c r="G1229" s="2">
        <v>1</v>
      </c>
      <c r="H1229" s="2">
        <v>1</v>
      </c>
    </row>
    <row r="1230" spans="1:8" x14ac:dyDescent="0.25">
      <c r="A1230" s="1" t="str">
        <f>"11951"</f>
        <v>11951</v>
      </c>
      <c r="B1230" s="1" t="str">
        <f>"35004"</f>
        <v>35004</v>
      </c>
      <c r="C1230" s="1" t="str">
        <f>"MASTIC BEACH"</f>
        <v>MASTIC BEACH</v>
      </c>
      <c r="D1230" s="1" t="str">
        <f t="shared" si="85"/>
        <v>NY</v>
      </c>
      <c r="E1230" s="2">
        <v>1</v>
      </c>
      <c r="F1230" s="2">
        <v>1</v>
      </c>
      <c r="G1230" s="2">
        <v>1</v>
      </c>
      <c r="H1230" s="2">
        <v>1</v>
      </c>
    </row>
    <row r="1231" spans="1:8" x14ac:dyDescent="0.25">
      <c r="A1231" s="1" t="str">
        <f>"10549"</f>
        <v>10549</v>
      </c>
      <c r="B1231" s="1" t="str">
        <f t="shared" ref="B1231:B1237" si="86">"35614"</f>
        <v>35614</v>
      </c>
      <c r="C1231" s="1" t="str">
        <f>"MOUNT KISCO"</f>
        <v>MOUNT KISCO</v>
      </c>
      <c r="D1231" s="1" t="str">
        <f t="shared" si="85"/>
        <v>NY</v>
      </c>
      <c r="E1231" s="2">
        <v>1</v>
      </c>
      <c r="F1231" s="2">
        <v>1</v>
      </c>
      <c r="G1231" s="2">
        <v>1</v>
      </c>
      <c r="H1231" s="2">
        <v>1</v>
      </c>
    </row>
    <row r="1232" spans="1:8" x14ac:dyDescent="0.25">
      <c r="A1232" s="1" t="str">
        <f>"10528"</f>
        <v>10528</v>
      </c>
      <c r="B1232" s="1" t="str">
        <f t="shared" si="86"/>
        <v>35614</v>
      </c>
      <c r="C1232" s="1" t="str">
        <f>"HARRISON"</f>
        <v>HARRISON</v>
      </c>
      <c r="D1232" s="1" t="str">
        <f t="shared" si="85"/>
        <v>NY</v>
      </c>
      <c r="E1232" s="2">
        <v>1</v>
      </c>
      <c r="F1232" s="2">
        <v>1</v>
      </c>
      <c r="G1232" s="2">
        <v>1</v>
      </c>
      <c r="H1232" s="2">
        <v>1</v>
      </c>
    </row>
    <row r="1233" spans="1:8" x14ac:dyDescent="0.25">
      <c r="A1233" s="1" t="str">
        <f>"10567"</f>
        <v>10567</v>
      </c>
      <c r="B1233" s="1" t="str">
        <f t="shared" si="86"/>
        <v>35614</v>
      </c>
      <c r="C1233" s="1" t="str">
        <f>"CORTLANDT MANOR"</f>
        <v>CORTLANDT MANOR</v>
      </c>
      <c r="D1233" s="1" t="str">
        <f t="shared" si="85"/>
        <v>NY</v>
      </c>
      <c r="E1233" s="2">
        <v>1</v>
      </c>
      <c r="F1233" s="2">
        <v>1</v>
      </c>
      <c r="G1233" s="2">
        <v>1</v>
      </c>
      <c r="H1233" s="2">
        <v>1</v>
      </c>
    </row>
    <row r="1234" spans="1:8" x14ac:dyDescent="0.25">
      <c r="A1234" s="1" t="str">
        <f>"10553"</f>
        <v>10553</v>
      </c>
      <c r="B1234" s="1" t="str">
        <f t="shared" si="86"/>
        <v>35614</v>
      </c>
      <c r="C1234" s="1" t="str">
        <f>"MOUNT VERNON"</f>
        <v>MOUNT VERNON</v>
      </c>
      <c r="D1234" s="1" t="str">
        <f t="shared" si="85"/>
        <v>NY</v>
      </c>
      <c r="E1234" s="2">
        <v>1</v>
      </c>
      <c r="F1234" s="2">
        <v>1</v>
      </c>
      <c r="G1234" s="2">
        <v>1</v>
      </c>
      <c r="H1234" s="2">
        <v>1</v>
      </c>
    </row>
    <row r="1235" spans="1:8" x14ac:dyDescent="0.25">
      <c r="A1235" s="1" t="str">
        <f>"10562"</f>
        <v>10562</v>
      </c>
      <c r="B1235" s="1" t="str">
        <f t="shared" si="86"/>
        <v>35614</v>
      </c>
      <c r="C1235" s="1" t="str">
        <f>"OSSINING"</f>
        <v>OSSINING</v>
      </c>
      <c r="D1235" s="1" t="str">
        <f t="shared" si="85"/>
        <v>NY</v>
      </c>
      <c r="E1235" s="2">
        <v>1</v>
      </c>
      <c r="F1235" s="2">
        <v>1</v>
      </c>
      <c r="G1235" s="2">
        <v>1</v>
      </c>
      <c r="H1235" s="2">
        <v>1</v>
      </c>
    </row>
    <row r="1236" spans="1:8" x14ac:dyDescent="0.25">
      <c r="A1236" s="1" t="str">
        <f>"10590"</f>
        <v>10590</v>
      </c>
      <c r="B1236" s="1" t="str">
        <f t="shared" si="86"/>
        <v>35614</v>
      </c>
      <c r="C1236" s="1" t="str">
        <f>"SOUTH SALEM"</f>
        <v>SOUTH SALEM</v>
      </c>
      <c r="D1236" s="1" t="str">
        <f t="shared" si="85"/>
        <v>NY</v>
      </c>
      <c r="E1236" s="2">
        <v>1</v>
      </c>
      <c r="F1236" s="2">
        <v>1</v>
      </c>
      <c r="G1236" s="2">
        <v>1</v>
      </c>
      <c r="H1236" s="2">
        <v>1</v>
      </c>
    </row>
    <row r="1237" spans="1:8" x14ac:dyDescent="0.25">
      <c r="A1237" s="1" t="str">
        <f>"10901"</f>
        <v>10901</v>
      </c>
      <c r="B1237" s="1" t="str">
        <f t="shared" si="86"/>
        <v>35614</v>
      </c>
      <c r="C1237" s="1" t="str">
        <f>"SUFFERN"</f>
        <v>SUFFERN</v>
      </c>
      <c r="D1237" s="1" t="str">
        <f t="shared" si="85"/>
        <v>NY</v>
      </c>
      <c r="E1237" s="2">
        <v>1</v>
      </c>
      <c r="F1237" s="2">
        <v>1</v>
      </c>
      <c r="G1237" s="2">
        <v>1</v>
      </c>
      <c r="H1237" s="2">
        <v>1</v>
      </c>
    </row>
    <row r="1238" spans="1:8" x14ac:dyDescent="0.25">
      <c r="A1238" s="1" t="str">
        <f>"19038"</f>
        <v>19038</v>
      </c>
      <c r="B1238" s="1" t="str">
        <f>"33874"</f>
        <v>33874</v>
      </c>
      <c r="C1238" s="1" t="str">
        <f>"GLENSIDE"</f>
        <v>GLENSIDE</v>
      </c>
      <c r="D1238" s="1" t="str">
        <f t="shared" ref="D1238:D1244" si="87">"PA"</f>
        <v>PA</v>
      </c>
      <c r="E1238" s="2">
        <v>1</v>
      </c>
      <c r="F1238" s="2">
        <v>1</v>
      </c>
      <c r="G1238" s="2">
        <v>1</v>
      </c>
      <c r="H1238" s="2">
        <v>1</v>
      </c>
    </row>
    <row r="1239" spans="1:8" x14ac:dyDescent="0.25">
      <c r="A1239" s="1" t="str">
        <f>"19020"</f>
        <v>19020</v>
      </c>
      <c r="B1239" s="1" t="str">
        <f>"33874"</f>
        <v>33874</v>
      </c>
      <c r="C1239" s="1" t="str">
        <f>"BENSALEM"</f>
        <v>BENSALEM</v>
      </c>
      <c r="D1239" s="1" t="str">
        <f t="shared" si="87"/>
        <v>PA</v>
      </c>
      <c r="E1239" s="2">
        <v>1</v>
      </c>
      <c r="F1239" s="2">
        <v>1</v>
      </c>
      <c r="G1239" s="2">
        <v>1</v>
      </c>
      <c r="H1239" s="2">
        <v>1</v>
      </c>
    </row>
    <row r="1240" spans="1:8" x14ac:dyDescent="0.25">
      <c r="A1240" s="1" t="str">
        <f>"19115"</f>
        <v>19115</v>
      </c>
      <c r="B1240" s="1" t="str">
        <f>"37964"</f>
        <v>37964</v>
      </c>
      <c r="C1240" s="1" t="str">
        <f>"PHILADELPHIA"</f>
        <v>PHILADELPHIA</v>
      </c>
      <c r="D1240" s="1" t="str">
        <f t="shared" si="87"/>
        <v>PA</v>
      </c>
      <c r="E1240" s="2">
        <v>1</v>
      </c>
      <c r="F1240" s="2">
        <v>0.99899497487437094</v>
      </c>
      <c r="G1240" s="2">
        <v>1</v>
      </c>
      <c r="H1240" s="2">
        <v>0.99994212293089402</v>
      </c>
    </row>
    <row r="1241" spans="1:8" x14ac:dyDescent="0.25">
      <c r="A1241" s="1" t="str">
        <f>"19115"</f>
        <v>19115</v>
      </c>
      <c r="B1241" s="1" t="str">
        <f>"33874"</f>
        <v>33874</v>
      </c>
      <c r="C1241" s="1" t="str">
        <f>"PHILADELPHIA"</f>
        <v>PHILADELPHIA</v>
      </c>
      <c r="D1241" s="1" t="str">
        <f t="shared" si="87"/>
        <v>PA</v>
      </c>
      <c r="E1241" s="2">
        <v>0</v>
      </c>
      <c r="F1241" s="2">
        <v>1.0050251256281399E-3</v>
      </c>
      <c r="G1241" s="2">
        <v>0</v>
      </c>
      <c r="H1241" s="2">
        <v>5.7877069105220503E-5</v>
      </c>
    </row>
    <row r="1242" spans="1:8" x14ac:dyDescent="0.25">
      <c r="A1242" s="1" t="str">
        <f>"19122"</f>
        <v>19122</v>
      </c>
      <c r="B1242" s="1" t="str">
        <f>"37964"</f>
        <v>37964</v>
      </c>
      <c r="C1242" s="1" t="str">
        <f>"PHILADELPHIA"</f>
        <v>PHILADELPHIA</v>
      </c>
      <c r="D1242" s="1" t="str">
        <f t="shared" si="87"/>
        <v>PA</v>
      </c>
      <c r="E1242" s="2">
        <v>1</v>
      </c>
      <c r="F1242" s="2">
        <v>1</v>
      </c>
      <c r="G1242" s="2">
        <v>1</v>
      </c>
      <c r="H1242" s="2">
        <v>1</v>
      </c>
    </row>
    <row r="1243" spans="1:8" x14ac:dyDescent="0.25">
      <c r="A1243" s="1" t="str">
        <f>"19320"</f>
        <v>19320</v>
      </c>
      <c r="B1243" s="1" t="str">
        <f>"33874"</f>
        <v>33874</v>
      </c>
      <c r="C1243" s="1" t="str">
        <f>"COATESVILLE"</f>
        <v>COATESVILLE</v>
      </c>
      <c r="D1243" s="1" t="str">
        <f t="shared" si="87"/>
        <v>PA</v>
      </c>
      <c r="E1243" s="2">
        <v>1</v>
      </c>
      <c r="F1243" s="2">
        <v>1</v>
      </c>
      <c r="G1243" s="2">
        <v>1</v>
      </c>
      <c r="H1243" s="2">
        <v>1</v>
      </c>
    </row>
    <row r="1244" spans="1:8" x14ac:dyDescent="0.25">
      <c r="A1244" s="1" t="str">
        <f>"19457"</f>
        <v>19457</v>
      </c>
      <c r="B1244" s="1" t="str">
        <f>"33874"</f>
        <v>33874</v>
      </c>
      <c r="C1244" s="1" t="str">
        <f>"PARKER FORD"</f>
        <v>PARKER FORD</v>
      </c>
      <c r="D1244" s="1" t="str">
        <f t="shared" si="87"/>
        <v>PA</v>
      </c>
      <c r="E1244" s="2">
        <v>1</v>
      </c>
      <c r="F1244" s="2">
        <v>1</v>
      </c>
      <c r="G1244" s="2">
        <v>1</v>
      </c>
      <c r="H1244" s="2">
        <v>1</v>
      </c>
    </row>
    <row r="1245" spans="1:8" x14ac:dyDescent="0.25">
      <c r="A1245" s="1" t="str">
        <f>"20011"</f>
        <v>20011</v>
      </c>
      <c r="B1245" s="1" t="str">
        <f>"47894"</f>
        <v>47894</v>
      </c>
      <c r="C1245" s="1" t="str">
        <f>"WASHINGTON"</f>
        <v>WASHINGTON</v>
      </c>
      <c r="D1245" s="1" t="str">
        <f>"DC"</f>
        <v>DC</v>
      </c>
      <c r="E1245" s="2">
        <v>1</v>
      </c>
      <c r="F1245" s="2">
        <v>1</v>
      </c>
      <c r="G1245" s="2">
        <v>1</v>
      </c>
      <c r="H1245" s="2">
        <v>1</v>
      </c>
    </row>
    <row r="1246" spans="1:8" x14ac:dyDescent="0.25">
      <c r="A1246" s="1" t="str">
        <f>"20012"</f>
        <v>20012</v>
      </c>
      <c r="B1246" s="1" t="str">
        <f>"47894"</f>
        <v>47894</v>
      </c>
      <c r="C1246" s="1" t="str">
        <f>"WASHINGTON"</f>
        <v>WASHINGTON</v>
      </c>
      <c r="D1246" s="1" t="str">
        <f>"DC"</f>
        <v>DC</v>
      </c>
      <c r="E1246" s="2">
        <v>1</v>
      </c>
      <c r="F1246" s="2">
        <v>1</v>
      </c>
      <c r="G1246" s="2">
        <v>1</v>
      </c>
      <c r="H1246" s="2">
        <v>1</v>
      </c>
    </row>
    <row r="1247" spans="1:8" x14ac:dyDescent="0.25">
      <c r="A1247" s="1" t="str">
        <f>"20017"</f>
        <v>20017</v>
      </c>
      <c r="B1247" s="1" t="str">
        <f>"47894"</f>
        <v>47894</v>
      </c>
      <c r="C1247" s="1" t="str">
        <f>"WASHINGTON"</f>
        <v>WASHINGTON</v>
      </c>
      <c r="D1247" s="1" t="str">
        <f>"DC"</f>
        <v>DC</v>
      </c>
      <c r="E1247" s="2">
        <v>1</v>
      </c>
      <c r="F1247" s="2">
        <v>1</v>
      </c>
      <c r="G1247" s="2">
        <v>1</v>
      </c>
      <c r="H1247" s="2">
        <v>1</v>
      </c>
    </row>
    <row r="1248" spans="1:8" x14ac:dyDescent="0.25">
      <c r="A1248" s="1" t="str">
        <f>"20905"</f>
        <v>20905</v>
      </c>
      <c r="B1248" s="1" t="str">
        <f>"23224"</f>
        <v>23224</v>
      </c>
      <c r="C1248" s="1" t="str">
        <f>"SILVER SPRING"</f>
        <v>SILVER SPRING</v>
      </c>
      <c r="D1248" s="1" t="str">
        <f>"MD"</f>
        <v>MD</v>
      </c>
      <c r="E1248" s="2">
        <v>1</v>
      </c>
      <c r="F1248" s="2">
        <v>1</v>
      </c>
      <c r="G1248" s="2">
        <v>1</v>
      </c>
      <c r="H1248" s="2">
        <v>1</v>
      </c>
    </row>
    <row r="1249" spans="1:8" x14ac:dyDescent="0.25">
      <c r="A1249" s="1" t="str">
        <f>"22210"</f>
        <v>22210</v>
      </c>
      <c r="B1249" s="1" t="str">
        <f>"47894"</f>
        <v>47894</v>
      </c>
      <c r="C1249" s="1" t="str">
        <f>"ARLINGTON"</f>
        <v>ARLINGTON</v>
      </c>
      <c r="D1249" s="1" t="str">
        <f>"VA"</f>
        <v>VA</v>
      </c>
      <c r="E1249" s="2">
        <v>1</v>
      </c>
      <c r="F1249" s="2">
        <v>1</v>
      </c>
      <c r="G1249" s="2">
        <v>1</v>
      </c>
      <c r="H1249" s="2">
        <v>1</v>
      </c>
    </row>
    <row r="1250" spans="1:8" x14ac:dyDescent="0.25">
      <c r="A1250" s="1" t="str">
        <f>"22716"</f>
        <v>22716</v>
      </c>
      <c r="B1250" s="1" t="str">
        <f>"47894"</f>
        <v>47894</v>
      </c>
      <c r="C1250" s="1" t="str">
        <f>"CASTLETON"</f>
        <v>CASTLETON</v>
      </c>
      <c r="D1250" s="1" t="str">
        <f>"VA"</f>
        <v>VA</v>
      </c>
      <c r="E1250" s="2">
        <v>1</v>
      </c>
      <c r="F1250" s="2">
        <v>1</v>
      </c>
      <c r="G1250" s="2">
        <v>1</v>
      </c>
      <c r="H1250" s="2">
        <v>1</v>
      </c>
    </row>
    <row r="1251" spans="1:8" x14ac:dyDescent="0.25">
      <c r="A1251" s="1" t="str">
        <f>"33023"</f>
        <v>33023</v>
      </c>
      <c r="B1251" s="1" t="str">
        <f>"22744"</f>
        <v>22744</v>
      </c>
      <c r="C1251" s="1" t="str">
        <f>"HOLLYWOOD"</f>
        <v>HOLLYWOOD</v>
      </c>
      <c r="D1251" s="1" t="str">
        <f t="shared" ref="D1251:D1257" si="88">"FL"</f>
        <v>FL</v>
      </c>
      <c r="E1251" s="2">
        <v>0.99643916913946495</v>
      </c>
      <c r="F1251" s="2">
        <v>0.99970396684428597</v>
      </c>
      <c r="G1251" s="2">
        <v>0.99328859060402597</v>
      </c>
      <c r="H1251" s="2">
        <v>0.99671388101983005</v>
      </c>
    </row>
    <row r="1252" spans="1:8" x14ac:dyDescent="0.25">
      <c r="A1252" s="1" t="str">
        <f>"33023"</f>
        <v>33023</v>
      </c>
      <c r="B1252" s="1" t="str">
        <f>"33124"</f>
        <v>33124</v>
      </c>
      <c r="C1252" s="1" t="str">
        <f>"HOLLYWOOD"</f>
        <v>HOLLYWOOD</v>
      </c>
      <c r="D1252" s="1" t="str">
        <f t="shared" si="88"/>
        <v>FL</v>
      </c>
      <c r="E1252" s="2">
        <v>3.5608308605341202E-3</v>
      </c>
      <c r="F1252" s="2">
        <v>2.9603315571343901E-4</v>
      </c>
      <c r="G1252" s="2">
        <v>6.7114093959731499E-3</v>
      </c>
      <c r="H1252" s="2">
        <v>3.2861189801699701E-3</v>
      </c>
    </row>
    <row r="1253" spans="1:8" x14ac:dyDescent="0.25">
      <c r="A1253" s="1" t="str">
        <f>"33433"</f>
        <v>33433</v>
      </c>
      <c r="B1253" s="1" t="str">
        <f>"48424"</f>
        <v>48424</v>
      </c>
      <c r="C1253" s="1" t="str">
        <f>"BOCA RATON"</f>
        <v>BOCA RATON</v>
      </c>
      <c r="D1253" s="1" t="str">
        <f t="shared" si="88"/>
        <v>FL</v>
      </c>
      <c r="E1253" s="2">
        <v>1</v>
      </c>
      <c r="F1253" s="2">
        <v>1</v>
      </c>
      <c r="G1253" s="2">
        <v>1</v>
      </c>
      <c r="H1253" s="2">
        <v>1</v>
      </c>
    </row>
    <row r="1254" spans="1:8" x14ac:dyDescent="0.25">
      <c r="A1254" s="1" t="str">
        <f>"33410"</f>
        <v>33410</v>
      </c>
      <c r="B1254" s="1" t="str">
        <f>"48424"</f>
        <v>48424</v>
      </c>
      <c r="C1254" s="1" t="str">
        <f>"PALM BEACH GARDENS"</f>
        <v>PALM BEACH GARDENS</v>
      </c>
      <c r="D1254" s="1" t="str">
        <f t="shared" si="88"/>
        <v>FL</v>
      </c>
      <c r="E1254" s="2">
        <v>1</v>
      </c>
      <c r="F1254" s="2">
        <v>1</v>
      </c>
      <c r="G1254" s="2">
        <v>1</v>
      </c>
      <c r="H1254" s="2">
        <v>1</v>
      </c>
    </row>
    <row r="1255" spans="1:8" x14ac:dyDescent="0.25">
      <c r="A1255" s="1" t="str">
        <f>"33178"</f>
        <v>33178</v>
      </c>
      <c r="B1255" s="1" t="str">
        <f>"33124"</f>
        <v>33124</v>
      </c>
      <c r="C1255" s="1" t="str">
        <f>"MIAMI"</f>
        <v>MIAMI</v>
      </c>
      <c r="D1255" s="1" t="str">
        <f t="shared" si="88"/>
        <v>FL</v>
      </c>
      <c r="E1255" s="2">
        <v>1</v>
      </c>
      <c r="F1255" s="2">
        <v>1</v>
      </c>
      <c r="G1255" s="2">
        <v>1</v>
      </c>
      <c r="H1255" s="2">
        <v>1</v>
      </c>
    </row>
    <row r="1256" spans="1:8" x14ac:dyDescent="0.25">
      <c r="A1256" s="1" t="str">
        <f>"33172"</f>
        <v>33172</v>
      </c>
      <c r="B1256" s="1" t="str">
        <f>"33124"</f>
        <v>33124</v>
      </c>
      <c r="C1256" s="1" t="str">
        <f>"MIAMI"</f>
        <v>MIAMI</v>
      </c>
      <c r="D1256" s="1" t="str">
        <f t="shared" si="88"/>
        <v>FL</v>
      </c>
      <c r="E1256" s="2">
        <v>1</v>
      </c>
      <c r="F1256" s="2">
        <v>1</v>
      </c>
      <c r="G1256" s="2">
        <v>1</v>
      </c>
      <c r="H1256" s="2">
        <v>1</v>
      </c>
    </row>
    <row r="1257" spans="1:8" x14ac:dyDescent="0.25">
      <c r="A1257" s="1" t="str">
        <f>"33142"</f>
        <v>33142</v>
      </c>
      <c r="B1257" s="1" t="str">
        <f>"33124"</f>
        <v>33124</v>
      </c>
      <c r="C1257" s="1" t="str">
        <f>"MIAMI"</f>
        <v>MIAMI</v>
      </c>
      <c r="D1257" s="1" t="str">
        <f t="shared" si="88"/>
        <v>FL</v>
      </c>
      <c r="E1257" s="2">
        <v>1</v>
      </c>
      <c r="F1257" s="2">
        <v>1</v>
      </c>
      <c r="G1257" s="2">
        <v>1</v>
      </c>
      <c r="H1257" s="2">
        <v>1</v>
      </c>
    </row>
    <row r="1258" spans="1:8" x14ac:dyDescent="0.25">
      <c r="A1258" s="1" t="str">
        <f>"25425"</f>
        <v>25425</v>
      </c>
      <c r="B1258" s="1" t="str">
        <f>"47894"</f>
        <v>47894</v>
      </c>
      <c r="C1258" s="1" t="str">
        <f>"HARPERS FERRY"</f>
        <v>HARPERS FERRY</v>
      </c>
      <c r="D1258" s="1" t="str">
        <f>"WV"</f>
        <v>WV</v>
      </c>
      <c r="E1258" s="2">
        <v>1</v>
      </c>
      <c r="F1258" s="2">
        <v>1</v>
      </c>
      <c r="G1258" s="2">
        <v>1</v>
      </c>
      <c r="H1258" s="2">
        <v>1</v>
      </c>
    </row>
    <row r="1259" spans="1:8" x14ac:dyDescent="0.25">
      <c r="A1259" s="1" t="str">
        <f>"46407"</f>
        <v>46407</v>
      </c>
      <c r="B1259" s="1" t="str">
        <f>"23844"</f>
        <v>23844</v>
      </c>
      <c r="C1259" s="1" t="str">
        <f>"GARY"</f>
        <v>GARY</v>
      </c>
      <c r="D1259" s="1" t="str">
        <f>"IN"</f>
        <v>IN</v>
      </c>
      <c r="E1259" s="2">
        <v>1</v>
      </c>
      <c r="F1259" s="2">
        <v>1</v>
      </c>
      <c r="G1259" s="2">
        <v>1</v>
      </c>
      <c r="H1259" s="2">
        <v>1</v>
      </c>
    </row>
    <row r="1260" spans="1:8" x14ac:dyDescent="0.25">
      <c r="A1260" s="1" t="str">
        <f>"48141"</f>
        <v>48141</v>
      </c>
      <c r="B1260" s="1" t="str">
        <f>"19804"</f>
        <v>19804</v>
      </c>
      <c r="C1260" s="1" t="str">
        <f>"INKSTER"</f>
        <v>INKSTER</v>
      </c>
      <c r="D1260" s="1" t="str">
        <f>"MI"</f>
        <v>MI</v>
      </c>
      <c r="E1260" s="2">
        <v>1</v>
      </c>
      <c r="F1260" s="2">
        <v>1</v>
      </c>
      <c r="G1260" s="2">
        <v>1</v>
      </c>
      <c r="H1260" s="2">
        <v>1</v>
      </c>
    </row>
    <row r="1261" spans="1:8" x14ac:dyDescent="0.25">
      <c r="A1261" s="1" t="str">
        <f>"48202"</f>
        <v>48202</v>
      </c>
      <c r="B1261" s="1" t="str">
        <f>"19804"</f>
        <v>19804</v>
      </c>
      <c r="C1261" s="1" t="str">
        <f>"DETROIT"</f>
        <v>DETROIT</v>
      </c>
      <c r="D1261" s="1" t="str">
        <f>"MI"</f>
        <v>MI</v>
      </c>
      <c r="E1261" s="2">
        <v>1</v>
      </c>
      <c r="F1261" s="2">
        <v>1</v>
      </c>
      <c r="G1261" s="2">
        <v>1</v>
      </c>
      <c r="H1261" s="2">
        <v>1</v>
      </c>
    </row>
    <row r="1262" spans="1:8" x14ac:dyDescent="0.25">
      <c r="A1262" s="1" t="str">
        <f>"60457"</f>
        <v>60457</v>
      </c>
      <c r="B1262" s="1" t="str">
        <f>"16984"</f>
        <v>16984</v>
      </c>
      <c r="C1262" s="1" t="str">
        <f>"HICKORY HILLS"</f>
        <v>HICKORY HILLS</v>
      </c>
      <c r="D1262" s="1" t="str">
        <f t="shared" ref="D1262:D1270" si="89">"IL"</f>
        <v>IL</v>
      </c>
      <c r="E1262" s="2">
        <v>1</v>
      </c>
      <c r="F1262" s="2">
        <v>1</v>
      </c>
      <c r="G1262" s="2">
        <v>1</v>
      </c>
      <c r="H1262" s="2">
        <v>1</v>
      </c>
    </row>
    <row r="1263" spans="1:8" x14ac:dyDescent="0.25">
      <c r="A1263" s="1" t="str">
        <f>"60406"</f>
        <v>60406</v>
      </c>
      <c r="B1263" s="1" t="str">
        <f>"16984"</f>
        <v>16984</v>
      </c>
      <c r="C1263" s="1" t="str">
        <f>"BLUE ISLAND"</f>
        <v>BLUE ISLAND</v>
      </c>
      <c r="D1263" s="1" t="str">
        <f t="shared" si="89"/>
        <v>IL</v>
      </c>
      <c r="E1263" s="2">
        <v>1</v>
      </c>
      <c r="F1263" s="2">
        <v>1</v>
      </c>
      <c r="G1263" s="2">
        <v>1</v>
      </c>
      <c r="H1263" s="2">
        <v>1</v>
      </c>
    </row>
    <row r="1264" spans="1:8" x14ac:dyDescent="0.25">
      <c r="A1264" s="1" t="str">
        <f>"60567"</f>
        <v>60567</v>
      </c>
      <c r="B1264" s="1" t="str">
        <f>"16984"</f>
        <v>16984</v>
      </c>
      <c r="C1264" s="1" t="str">
        <f>"NAPERVILLE"</f>
        <v>NAPERVILLE</v>
      </c>
      <c r="D1264" s="1" t="str">
        <f t="shared" si="89"/>
        <v>IL</v>
      </c>
      <c r="E1264" s="2">
        <v>1</v>
      </c>
      <c r="F1264" s="2">
        <v>1</v>
      </c>
      <c r="G1264" s="2">
        <v>1</v>
      </c>
      <c r="H1264" s="2">
        <v>1</v>
      </c>
    </row>
    <row r="1265" spans="1:8" x14ac:dyDescent="0.25">
      <c r="A1265" s="1" t="str">
        <f>"60088"</f>
        <v>60088</v>
      </c>
      <c r="B1265" s="1" t="str">
        <f>"29404"</f>
        <v>29404</v>
      </c>
      <c r="C1265" s="1" t="str">
        <f>"GREAT LAKES"</f>
        <v>GREAT LAKES</v>
      </c>
      <c r="D1265" s="1" t="str">
        <f t="shared" si="89"/>
        <v>IL</v>
      </c>
      <c r="E1265" s="2">
        <v>1</v>
      </c>
      <c r="F1265" s="2">
        <v>1</v>
      </c>
      <c r="G1265" s="2">
        <v>1</v>
      </c>
      <c r="H1265" s="2">
        <v>1</v>
      </c>
    </row>
    <row r="1266" spans="1:8" x14ac:dyDescent="0.25">
      <c r="A1266" s="1" t="str">
        <f>"60172"</f>
        <v>60172</v>
      </c>
      <c r="B1266" s="1" t="str">
        <f>"16984"</f>
        <v>16984</v>
      </c>
      <c r="C1266" s="1" t="str">
        <f>"ROSELLE"</f>
        <v>ROSELLE</v>
      </c>
      <c r="D1266" s="1" t="str">
        <f t="shared" si="89"/>
        <v>IL</v>
      </c>
      <c r="E1266" s="2">
        <v>1</v>
      </c>
      <c r="F1266" s="2">
        <v>1</v>
      </c>
      <c r="G1266" s="2">
        <v>1</v>
      </c>
      <c r="H1266" s="2">
        <v>1</v>
      </c>
    </row>
    <row r="1267" spans="1:8" x14ac:dyDescent="0.25">
      <c r="A1267" s="1" t="str">
        <f>"60201"</f>
        <v>60201</v>
      </c>
      <c r="B1267" s="1" t="str">
        <f>"16984"</f>
        <v>16984</v>
      </c>
      <c r="C1267" s="1" t="str">
        <f>"EVANSTON"</f>
        <v>EVANSTON</v>
      </c>
      <c r="D1267" s="1" t="str">
        <f t="shared" si="89"/>
        <v>IL</v>
      </c>
      <c r="E1267" s="2">
        <v>1</v>
      </c>
      <c r="F1267" s="2">
        <v>1</v>
      </c>
      <c r="G1267" s="2">
        <v>1</v>
      </c>
      <c r="H1267" s="2">
        <v>1</v>
      </c>
    </row>
    <row r="1268" spans="1:8" x14ac:dyDescent="0.25">
      <c r="A1268" s="1" t="str">
        <f>"60805"</f>
        <v>60805</v>
      </c>
      <c r="B1268" s="1" t="str">
        <f>"16984"</f>
        <v>16984</v>
      </c>
      <c r="C1268" s="1" t="str">
        <f>"EVERGREEN PARK"</f>
        <v>EVERGREEN PARK</v>
      </c>
      <c r="D1268" s="1" t="str">
        <f t="shared" si="89"/>
        <v>IL</v>
      </c>
      <c r="E1268" s="2">
        <v>1</v>
      </c>
      <c r="F1268" s="2">
        <v>1</v>
      </c>
      <c r="G1268" s="2">
        <v>1</v>
      </c>
      <c r="H1268" s="2">
        <v>1</v>
      </c>
    </row>
    <row r="1269" spans="1:8" x14ac:dyDescent="0.25">
      <c r="A1269" s="1" t="str">
        <f>"60657"</f>
        <v>60657</v>
      </c>
      <c r="B1269" s="1" t="str">
        <f>"16984"</f>
        <v>16984</v>
      </c>
      <c r="C1269" s="1" t="str">
        <f>"CHICAGO"</f>
        <v>CHICAGO</v>
      </c>
      <c r="D1269" s="1" t="str">
        <f t="shared" si="89"/>
        <v>IL</v>
      </c>
      <c r="E1269" s="2">
        <v>1</v>
      </c>
      <c r="F1269" s="2">
        <v>1</v>
      </c>
      <c r="G1269" s="2">
        <v>1</v>
      </c>
      <c r="H1269" s="2">
        <v>1</v>
      </c>
    </row>
    <row r="1270" spans="1:8" x14ac:dyDescent="0.25">
      <c r="A1270" s="1" t="str">
        <f>"60647"</f>
        <v>60647</v>
      </c>
      <c r="B1270" s="1" t="str">
        <f>"16984"</f>
        <v>16984</v>
      </c>
      <c r="C1270" s="1" t="str">
        <f>"CHICAGO"</f>
        <v>CHICAGO</v>
      </c>
      <c r="D1270" s="1" t="str">
        <f t="shared" si="89"/>
        <v>IL</v>
      </c>
      <c r="E1270" s="2">
        <v>1</v>
      </c>
      <c r="F1270" s="2">
        <v>1</v>
      </c>
      <c r="G1270" s="2">
        <v>1</v>
      </c>
      <c r="H1270" s="2">
        <v>1</v>
      </c>
    </row>
    <row r="1271" spans="1:8" x14ac:dyDescent="0.25">
      <c r="A1271" s="1" t="str">
        <f>"75054"</f>
        <v>75054</v>
      </c>
      <c r="B1271" s="1" t="str">
        <f>"19124"</f>
        <v>19124</v>
      </c>
      <c r="C1271" s="1" t="str">
        <f>"GRAND PRAIRIE"</f>
        <v>GRAND PRAIRIE</v>
      </c>
      <c r="D1271" s="1" t="str">
        <f t="shared" ref="D1271:D1280" si="90">"TX"</f>
        <v>TX</v>
      </c>
      <c r="E1271" s="2">
        <v>0.34469129071827698</v>
      </c>
      <c r="F1271" s="2">
        <v>0.97745901639344202</v>
      </c>
      <c r="G1271" s="2">
        <v>0.97058823529411697</v>
      </c>
      <c r="H1271" s="2">
        <v>0.38920562523755198</v>
      </c>
    </row>
    <row r="1272" spans="1:8" x14ac:dyDescent="0.25">
      <c r="A1272" s="1" t="str">
        <f>"75054"</f>
        <v>75054</v>
      </c>
      <c r="B1272" s="1" t="str">
        <f>"23104"</f>
        <v>23104</v>
      </c>
      <c r="C1272" s="1" t="str">
        <f>"GRAND PRAIRIE"</f>
        <v>GRAND PRAIRIE</v>
      </c>
      <c r="D1272" s="1" t="str">
        <f t="shared" si="90"/>
        <v>TX</v>
      </c>
      <c r="E1272" s="2">
        <v>0.65530870928172202</v>
      </c>
      <c r="F1272" s="2">
        <v>2.2540983606557301E-2</v>
      </c>
      <c r="G1272" s="2">
        <v>2.94117647058823E-2</v>
      </c>
      <c r="H1272" s="2">
        <v>0.61079437476244702</v>
      </c>
    </row>
    <row r="1273" spans="1:8" x14ac:dyDescent="0.25">
      <c r="A1273" s="1" t="str">
        <f>"75270"</f>
        <v>75270</v>
      </c>
      <c r="B1273" s="1" t="str">
        <f>"19124"</f>
        <v>19124</v>
      </c>
      <c r="C1273" s="1" t="str">
        <f>"DALLAS"</f>
        <v>DALLAS</v>
      </c>
      <c r="D1273" s="1" t="str">
        <f t="shared" si="90"/>
        <v>TX</v>
      </c>
      <c r="E1273" s="2">
        <v>0</v>
      </c>
      <c r="F1273" s="2">
        <v>1</v>
      </c>
      <c r="G1273" s="2">
        <v>1</v>
      </c>
      <c r="H1273" s="2">
        <v>1</v>
      </c>
    </row>
    <row r="1274" spans="1:8" x14ac:dyDescent="0.25">
      <c r="A1274" s="1" t="str">
        <f>"75407"</f>
        <v>75407</v>
      </c>
      <c r="B1274" s="1" t="str">
        <f>"19124"</f>
        <v>19124</v>
      </c>
      <c r="C1274" s="1" t="str">
        <f>"PRINCETON"</f>
        <v>PRINCETON</v>
      </c>
      <c r="D1274" s="1" t="str">
        <f t="shared" si="90"/>
        <v>TX</v>
      </c>
      <c r="E1274" s="2">
        <v>1</v>
      </c>
      <c r="F1274" s="2">
        <v>1</v>
      </c>
      <c r="G1274" s="2">
        <v>1</v>
      </c>
      <c r="H1274" s="2">
        <v>1</v>
      </c>
    </row>
    <row r="1275" spans="1:8" x14ac:dyDescent="0.25">
      <c r="A1275" s="1" t="str">
        <f>"75154"</f>
        <v>75154</v>
      </c>
      <c r="B1275" s="1" t="str">
        <f>"19124"</f>
        <v>19124</v>
      </c>
      <c r="C1275" s="1" t="str">
        <f>"RED OAK"</f>
        <v>RED OAK</v>
      </c>
      <c r="D1275" s="1" t="str">
        <f t="shared" si="90"/>
        <v>TX</v>
      </c>
      <c r="E1275" s="2">
        <v>1</v>
      </c>
      <c r="F1275" s="2">
        <v>1</v>
      </c>
      <c r="G1275" s="2">
        <v>1</v>
      </c>
      <c r="H1275" s="2">
        <v>1</v>
      </c>
    </row>
    <row r="1276" spans="1:8" x14ac:dyDescent="0.25">
      <c r="A1276" s="1" t="str">
        <f>"76202"</f>
        <v>76202</v>
      </c>
      <c r="B1276" s="1" t="str">
        <f>"19124"</f>
        <v>19124</v>
      </c>
      <c r="C1276" s="1" t="str">
        <f>"DENTON"</f>
        <v>DENTON</v>
      </c>
      <c r="D1276" s="1" t="str">
        <f t="shared" si="90"/>
        <v>TX</v>
      </c>
      <c r="E1276" s="2">
        <v>1</v>
      </c>
      <c r="F1276" s="2">
        <v>1</v>
      </c>
      <c r="G1276" s="2">
        <v>1</v>
      </c>
      <c r="H1276" s="2">
        <v>1</v>
      </c>
    </row>
    <row r="1277" spans="1:8" x14ac:dyDescent="0.25">
      <c r="A1277" s="1" t="str">
        <f>"76134"</f>
        <v>76134</v>
      </c>
      <c r="B1277" s="1" t="str">
        <f>"23104"</f>
        <v>23104</v>
      </c>
      <c r="C1277" s="1" t="str">
        <f>"FORT WORTH"</f>
        <v>FORT WORTH</v>
      </c>
      <c r="D1277" s="1" t="str">
        <f t="shared" si="90"/>
        <v>TX</v>
      </c>
      <c r="E1277" s="2">
        <v>1</v>
      </c>
      <c r="F1277" s="2">
        <v>1</v>
      </c>
      <c r="G1277" s="2">
        <v>1</v>
      </c>
      <c r="H1277" s="2">
        <v>1</v>
      </c>
    </row>
    <row r="1278" spans="1:8" x14ac:dyDescent="0.25">
      <c r="A1278" s="1" t="str">
        <f>"76226"</f>
        <v>76226</v>
      </c>
      <c r="B1278" s="1" t="str">
        <f>"19124"</f>
        <v>19124</v>
      </c>
      <c r="C1278" s="1" t="str">
        <f>"ARGYLE"</f>
        <v>ARGYLE</v>
      </c>
      <c r="D1278" s="1" t="str">
        <f t="shared" si="90"/>
        <v>TX</v>
      </c>
      <c r="E1278" s="2">
        <v>1</v>
      </c>
      <c r="F1278" s="2">
        <v>1</v>
      </c>
      <c r="G1278" s="2">
        <v>1</v>
      </c>
      <c r="H1278" s="2">
        <v>1</v>
      </c>
    </row>
    <row r="1279" spans="1:8" x14ac:dyDescent="0.25">
      <c r="A1279" s="1" t="str">
        <f>"76014"</f>
        <v>76014</v>
      </c>
      <c r="B1279" s="1" t="str">
        <f>"23104"</f>
        <v>23104</v>
      </c>
      <c r="C1279" s="1" t="str">
        <f>"ARLINGTON"</f>
        <v>ARLINGTON</v>
      </c>
      <c r="D1279" s="1" t="str">
        <f t="shared" si="90"/>
        <v>TX</v>
      </c>
      <c r="E1279" s="2">
        <v>1</v>
      </c>
      <c r="F1279" s="2">
        <v>1</v>
      </c>
      <c r="G1279" s="2">
        <v>1</v>
      </c>
      <c r="H1279" s="2">
        <v>1</v>
      </c>
    </row>
    <row r="1280" spans="1:8" x14ac:dyDescent="0.25">
      <c r="A1280" s="1" t="str">
        <f>"76121"</f>
        <v>76121</v>
      </c>
      <c r="B1280" s="1" t="str">
        <f>"23104"</f>
        <v>23104</v>
      </c>
      <c r="C1280" s="1" t="str">
        <f>"FORT WORTH"</f>
        <v>FORT WORTH</v>
      </c>
      <c r="D1280" s="1" t="str">
        <f t="shared" si="90"/>
        <v>TX</v>
      </c>
      <c r="E1280" s="2">
        <v>1</v>
      </c>
      <c r="F1280" s="2">
        <v>1</v>
      </c>
      <c r="G1280" s="2">
        <v>1</v>
      </c>
      <c r="H1280" s="2">
        <v>1</v>
      </c>
    </row>
    <row r="1281" spans="1:8" x14ac:dyDescent="0.25">
      <c r="A1281" s="1" t="str">
        <f>"90037"</f>
        <v>90037</v>
      </c>
      <c r="B1281" s="1" t="str">
        <f t="shared" ref="B1281:B1287" si="91">"31084"</f>
        <v>31084</v>
      </c>
      <c r="C1281" s="1" t="str">
        <f>"LOS ANGELES"</f>
        <v>LOS ANGELES</v>
      </c>
      <c r="D1281" s="1" t="str">
        <f t="shared" ref="D1281:D1291" si="92">"CA"</f>
        <v>CA</v>
      </c>
      <c r="E1281" s="2">
        <v>1</v>
      </c>
      <c r="F1281" s="2">
        <v>1</v>
      </c>
      <c r="G1281" s="2">
        <v>1</v>
      </c>
      <c r="H1281" s="2">
        <v>1</v>
      </c>
    </row>
    <row r="1282" spans="1:8" x14ac:dyDescent="0.25">
      <c r="A1282" s="1" t="str">
        <f>"90039"</f>
        <v>90039</v>
      </c>
      <c r="B1282" s="1" t="str">
        <f t="shared" si="91"/>
        <v>31084</v>
      </c>
      <c r="C1282" s="1" t="str">
        <f>"LOS ANGELES"</f>
        <v>LOS ANGELES</v>
      </c>
      <c r="D1282" s="1" t="str">
        <f t="shared" si="92"/>
        <v>CA</v>
      </c>
      <c r="E1282" s="2">
        <v>1</v>
      </c>
      <c r="F1282" s="2">
        <v>1</v>
      </c>
      <c r="G1282" s="2">
        <v>1</v>
      </c>
      <c r="H1282" s="2">
        <v>1</v>
      </c>
    </row>
    <row r="1283" spans="1:8" x14ac:dyDescent="0.25">
      <c r="A1283" s="1" t="str">
        <f>"90274"</f>
        <v>90274</v>
      </c>
      <c r="B1283" s="1" t="str">
        <f t="shared" si="91"/>
        <v>31084</v>
      </c>
      <c r="C1283" s="1" t="str">
        <f>"PALOS VERDES PENINSULA"</f>
        <v>PALOS VERDES PENINSULA</v>
      </c>
      <c r="D1283" s="1" t="str">
        <f t="shared" si="92"/>
        <v>CA</v>
      </c>
      <c r="E1283" s="2">
        <v>1</v>
      </c>
      <c r="F1283" s="2">
        <v>1</v>
      </c>
      <c r="G1283" s="2">
        <v>1</v>
      </c>
      <c r="H1283" s="2">
        <v>1</v>
      </c>
    </row>
    <row r="1284" spans="1:8" x14ac:dyDescent="0.25">
      <c r="A1284" s="1" t="str">
        <f>"90254"</f>
        <v>90254</v>
      </c>
      <c r="B1284" s="1" t="str">
        <f t="shared" si="91"/>
        <v>31084</v>
      </c>
      <c r="C1284" s="1" t="str">
        <f>"HERMOSA BEACH"</f>
        <v>HERMOSA BEACH</v>
      </c>
      <c r="D1284" s="1" t="str">
        <f t="shared" si="92"/>
        <v>CA</v>
      </c>
      <c r="E1284" s="2">
        <v>1</v>
      </c>
      <c r="F1284" s="2">
        <v>1</v>
      </c>
      <c r="G1284" s="2">
        <v>1</v>
      </c>
      <c r="H1284" s="2">
        <v>1</v>
      </c>
    </row>
    <row r="1285" spans="1:8" x14ac:dyDescent="0.25">
      <c r="A1285" s="1" t="str">
        <f>"90293"</f>
        <v>90293</v>
      </c>
      <c r="B1285" s="1" t="str">
        <f t="shared" si="91"/>
        <v>31084</v>
      </c>
      <c r="C1285" s="1" t="str">
        <f>"PLAYA DEL REY"</f>
        <v>PLAYA DEL REY</v>
      </c>
      <c r="D1285" s="1" t="str">
        <f t="shared" si="92"/>
        <v>CA</v>
      </c>
      <c r="E1285" s="2">
        <v>1</v>
      </c>
      <c r="F1285" s="2">
        <v>1</v>
      </c>
      <c r="G1285" s="2">
        <v>1</v>
      </c>
      <c r="H1285" s="2">
        <v>1</v>
      </c>
    </row>
    <row r="1286" spans="1:8" x14ac:dyDescent="0.25">
      <c r="A1286" s="1" t="str">
        <f>"91335"</f>
        <v>91335</v>
      </c>
      <c r="B1286" s="1" t="str">
        <f t="shared" si="91"/>
        <v>31084</v>
      </c>
      <c r="C1286" s="1" t="str">
        <f>"RESEDA"</f>
        <v>RESEDA</v>
      </c>
      <c r="D1286" s="1" t="str">
        <f t="shared" si="92"/>
        <v>CA</v>
      </c>
      <c r="E1286" s="2">
        <v>1</v>
      </c>
      <c r="F1286" s="2">
        <v>1</v>
      </c>
      <c r="G1286" s="2">
        <v>1</v>
      </c>
      <c r="H1286" s="2">
        <v>1</v>
      </c>
    </row>
    <row r="1287" spans="1:8" x14ac:dyDescent="0.25">
      <c r="A1287" s="1" t="str">
        <f>"91405"</f>
        <v>91405</v>
      </c>
      <c r="B1287" s="1" t="str">
        <f t="shared" si="91"/>
        <v>31084</v>
      </c>
      <c r="C1287" s="1" t="str">
        <f>"VAN NUYS"</f>
        <v>VAN NUYS</v>
      </c>
      <c r="D1287" s="1" t="str">
        <f t="shared" si="92"/>
        <v>CA</v>
      </c>
      <c r="E1287" s="2">
        <v>1</v>
      </c>
      <c r="F1287" s="2">
        <v>1</v>
      </c>
      <c r="G1287" s="2">
        <v>1</v>
      </c>
      <c r="H1287" s="2">
        <v>1</v>
      </c>
    </row>
    <row r="1288" spans="1:8" x14ac:dyDescent="0.25">
      <c r="A1288" s="1" t="str">
        <f>"92653"</f>
        <v>92653</v>
      </c>
      <c r="B1288" s="1" t="str">
        <f>"11244"</f>
        <v>11244</v>
      </c>
      <c r="C1288" s="1" t="str">
        <f>"LAGUNA HILLS"</f>
        <v>LAGUNA HILLS</v>
      </c>
      <c r="D1288" s="1" t="str">
        <f t="shared" si="92"/>
        <v>CA</v>
      </c>
      <c r="E1288" s="2">
        <v>1</v>
      </c>
      <c r="F1288" s="2">
        <v>1</v>
      </c>
      <c r="G1288" s="2">
        <v>1</v>
      </c>
      <c r="H1288" s="2">
        <v>1</v>
      </c>
    </row>
    <row r="1289" spans="1:8" x14ac:dyDescent="0.25">
      <c r="A1289" s="1" t="str">
        <f>"94963"</f>
        <v>94963</v>
      </c>
      <c r="B1289" s="1" t="str">
        <f>"42034"</f>
        <v>42034</v>
      </c>
      <c r="C1289" s="1" t="str">
        <f>"SAN GERONIMO"</f>
        <v>SAN GERONIMO</v>
      </c>
      <c r="D1289" s="1" t="str">
        <f t="shared" si="92"/>
        <v>CA</v>
      </c>
      <c r="E1289" s="2">
        <v>1</v>
      </c>
      <c r="F1289" s="2">
        <v>1</v>
      </c>
      <c r="G1289" s="2">
        <v>0</v>
      </c>
      <c r="H1289" s="2">
        <v>1</v>
      </c>
    </row>
    <row r="1290" spans="1:8" x14ac:dyDescent="0.25">
      <c r="A1290" s="1" t="str">
        <f>"94704"</f>
        <v>94704</v>
      </c>
      <c r="B1290" s="1" t="str">
        <f>"36084"</f>
        <v>36084</v>
      </c>
      <c r="C1290" s="1" t="str">
        <f>"BERKELEY"</f>
        <v>BERKELEY</v>
      </c>
      <c r="D1290" s="1" t="str">
        <f t="shared" si="92"/>
        <v>CA</v>
      </c>
      <c r="E1290" s="2">
        <v>1</v>
      </c>
      <c r="F1290" s="2">
        <v>1</v>
      </c>
      <c r="G1290" s="2">
        <v>1</v>
      </c>
      <c r="H1290" s="2">
        <v>1</v>
      </c>
    </row>
    <row r="1291" spans="1:8" x14ac:dyDescent="0.25">
      <c r="A1291" s="1" t="str">
        <f>"94803"</f>
        <v>94803</v>
      </c>
      <c r="B1291" s="1" t="str">
        <f>"36084"</f>
        <v>36084</v>
      </c>
      <c r="C1291" s="1" t="str">
        <f>"EL SOBRANTE"</f>
        <v>EL SOBRANTE</v>
      </c>
      <c r="D1291" s="1" t="str">
        <f t="shared" si="92"/>
        <v>CA</v>
      </c>
      <c r="E1291" s="2">
        <v>1</v>
      </c>
      <c r="F1291" s="2">
        <v>1</v>
      </c>
      <c r="G1291" s="2">
        <v>1</v>
      </c>
      <c r="H1291" s="2">
        <v>1</v>
      </c>
    </row>
    <row r="1292" spans="1:8" x14ac:dyDescent="0.25">
      <c r="A1292" s="1" t="str">
        <f>"98056"</f>
        <v>98056</v>
      </c>
      <c r="B1292" s="1" t="str">
        <f>"42644"</f>
        <v>42644</v>
      </c>
      <c r="C1292" s="1" t="str">
        <f>"RENTON"</f>
        <v>RENTON</v>
      </c>
      <c r="D1292" s="1" t="str">
        <f t="shared" ref="D1292:D1297" si="93">"WA"</f>
        <v>WA</v>
      </c>
      <c r="E1292" s="2">
        <v>1</v>
      </c>
      <c r="F1292" s="2">
        <v>1</v>
      </c>
      <c r="G1292" s="2">
        <v>1</v>
      </c>
      <c r="H1292" s="2">
        <v>1</v>
      </c>
    </row>
    <row r="1293" spans="1:8" x14ac:dyDescent="0.25">
      <c r="A1293" s="1" t="str">
        <f>"98047"</f>
        <v>98047</v>
      </c>
      <c r="B1293" s="1" t="str">
        <f>"45104"</f>
        <v>45104</v>
      </c>
      <c r="C1293" s="1" t="str">
        <f>"PACIFIC"</f>
        <v>PACIFIC</v>
      </c>
      <c r="D1293" s="1" t="str">
        <f t="shared" si="93"/>
        <v>WA</v>
      </c>
      <c r="E1293" s="2">
        <v>2.1903624054161599E-2</v>
      </c>
      <c r="F1293" s="2">
        <v>0.66141732283464505</v>
      </c>
      <c r="G1293" s="2">
        <v>0.14285714285714199</v>
      </c>
      <c r="H1293" s="2">
        <v>8.4631008801624899E-2</v>
      </c>
    </row>
    <row r="1294" spans="1:8" x14ac:dyDescent="0.25">
      <c r="A1294" s="1" t="str">
        <f>"98047"</f>
        <v>98047</v>
      </c>
      <c r="B1294" s="1" t="str">
        <f>"42644"</f>
        <v>42644</v>
      </c>
      <c r="C1294" s="1" t="str">
        <f>"PACIFIC"</f>
        <v>PACIFIC</v>
      </c>
      <c r="D1294" s="1" t="str">
        <f t="shared" si="93"/>
        <v>WA</v>
      </c>
      <c r="E1294" s="2">
        <v>0.97809637594583798</v>
      </c>
      <c r="F1294" s="2">
        <v>0.33858267716535401</v>
      </c>
      <c r="G1294" s="2">
        <v>0.85714285714285698</v>
      </c>
      <c r="H1294" s="2">
        <v>0.915368991198375</v>
      </c>
    </row>
    <row r="1295" spans="1:8" x14ac:dyDescent="0.25">
      <c r="A1295" s="1" t="str">
        <f>"98580"</f>
        <v>98580</v>
      </c>
      <c r="B1295" s="1" t="str">
        <f>"45104"</f>
        <v>45104</v>
      </c>
      <c r="C1295" s="1" t="str">
        <f>"ROY"</f>
        <v>ROY</v>
      </c>
      <c r="D1295" s="1" t="str">
        <f t="shared" si="93"/>
        <v>WA</v>
      </c>
      <c r="E1295" s="2">
        <v>1</v>
      </c>
      <c r="F1295" s="2">
        <v>1</v>
      </c>
      <c r="G1295" s="2">
        <v>1</v>
      </c>
      <c r="H1295" s="2">
        <v>1</v>
      </c>
    </row>
    <row r="1296" spans="1:8" x14ac:dyDescent="0.25">
      <c r="A1296" s="1" t="str">
        <f>"98116"</f>
        <v>98116</v>
      </c>
      <c r="B1296" s="1" t="str">
        <f>"42644"</f>
        <v>42644</v>
      </c>
      <c r="C1296" s="1" t="str">
        <f>"SEATTLE"</f>
        <v>SEATTLE</v>
      </c>
      <c r="D1296" s="1" t="str">
        <f t="shared" si="93"/>
        <v>WA</v>
      </c>
      <c r="E1296" s="2">
        <v>1</v>
      </c>
      <c r="F1296" s="2">
        <v>1</v>
      </c>
      <c r="G1296" s="2">
        <v>1</v>
      </c>
      <c r="H1296" s="2">
        <v>1</v>
      </c>
    </row>
    <row r="1297" spans="1:8" x14ac:dyDescent="0.25">
      <c r="A1297" s="1" t="str">
        <f>"98417"</f>
        <v>98417</v>
      </c>
      <c r="B1297" s="1" t="str">
        <f>"45104"</f>
        <v>45104</v>
      </c>
      <c r="C1297" s="1" t="str">
        <f>"TACOMA"</f>
        <v>TACOMA</v>
      </c>
      <c r="D1297" s="1" t="str">
        <f t="shared" si="93"/>
        <v>WA</v>
      </c>
      <c r="E1297" s="2">
        <v>1</v>
      </c>
      <c r="F1297" s="2">
        <v>1</v>
      </c>
      <c r="G1297" s="2">
        <v>1</v>
      </c>
      <c r="H1297" s="2">
        <v>1</v>
      </c>
    </row>
    <row r="1298" spans="1:8" x14ac:dyDescent="0.25">
      <c r="A1298" s="1" t="str">
        <f>"02350"</f>
        <v>02350</v>
      </c>
      <c r="B1298" s="1" t="str">
        <f>"14454"</f>
        <v>14454</v>
      </c>
      <c r="C1298" s="1" t="str">
        <f>"MONPONSETT"</f>
        <v>MONPONSETT</v>
      </c>
      <c r="D1298" s="1" t="str">
        <f>"MA"</f>
        <v>MA</v>
      </c>
      <c r="E1298" s="2">
        <v>1</v>
      </c>
      <c r="F1298" s="2">
        <v>0</v>
      </c>
      <c r="G1298" s="2">
        <v>1</v>
      </c>
      <c r="H1298" s="2">
        <v>1</v>
      </c>
    </row>
    <row r="1299" spans="1:8" x14ac:dyDescent="0.25">
      <c r="A1299" s="1" t="str">
        <f>"03869"</f>
        <v>03869</v>
      </c>
      <c r="B1299" s="1" t="str">
        <f>"40484"</f>
        <v>40484</v>
      </c>
      <c r="C1299" s="1" t="str">
        <f>"ROLLINSFORD"</f>
        <v>ROLLINSFORD</v>
      </c>
      <c r="D1299" s="1" t="str">
        <f>"NH"</f>
        <v>NH</v>
      </c>
      <c r="E1299" s="2">
        <v>1</v>
      </c>
      <c r="F1299" s="2">
        <v>1</v>
      </c>
      <c r="G1299" s="2">
        <v>1</v>
      </c>
      <c r="H1299" s="2">
        <v>1</v>
      </c>
    </row>
    <row r="1300" spans="1:8" x14ac:dyDescent="0.25">
      <c r="A1300" s="1" t="str">
        <f>"10166"</f>
        <v>10166</v>
      </c>
      <c r="B1300" s="1" t="str">
        <f>"35614"</f>
        <v>35614</v>
      </c>
      <c r="C1300" s="1" t="str">
        <f>"NEW YORK"</f>
        <v>NEW YORK</v>
      </c>
      <c r="D1300" s="1" t="str">
        <f>"NY"</f>
        <v>NY</v>
      </c>
      <c r="E1300" s="2">
        <v>0</v>
      </c>
      <c r="F1300" s="2">
        <v>1</v>
      </c>
      <c r="G1300" s="2">
        <v>1</v>
      </c>
      <c r="H1300" s="2">
        <v>1</v>
      </c>
    </row>
    <row r="1301" spans="1:8" x14ac:dyDescent="0.25">
      <c r="A1301" s="1" t="str">
        <f>"22332"</f>
        <v>22332</v>
      </c>
      <c r="B1301" s="1" t="str">
        <f>"47894"</f>
        <v>47894</v>
      </c>
      <c r="C1301" s="1" t="str">
        <f>"ALEXANDRIA"</f>
        <v>ALEXANDRIA</v>
      </c>
      <c r="D1301" s="1" t="str">
        <f>"VA"</f>
        <v>VA</v>
      </c>
      <c r="E1301" s="2">
        <v>0</v>
      </c>
      <c r="F1301" s="2">
        <v>1</v>
      </c>
      <c r="G1301" s="2">
        <v>1</v>
      </c>
      <c r="H1301" s="2">
        <v>1</v>
      </c>
    </row>
    <row r="1302" spans="1:8" x14ac:dyDescent="0.25">
      <c r="A1302" s="1" t="str">
        <f>"46360"</f>
        <v>46360</v>
      </c>
      <c r="B1302" s="1" t="str">
        <f>"23844"</f>
        <v>23844</v>
      </c>
      <c r="C1302" s="1" t="str">
        <f>"MICHIGAN CITY"</f>
        <v>MICHIGAN CITY</v>
      </c>
      <c r="D1302" s="1" t="str">
        <f>"IN"</f>
        <v>IN</v>
      </c>
      <c r="E1302" s="2">
        <v>1</v>
      </c>
      <c r="F1302" s="2">
        <v>1</v>
      </c>
      <c r="G1302" s="2">
        <v>1</v>
      </c>
      <c r="H1302" s="2">
        <v>1</v>
      </c>
    </row>
    <row r="1303" spans="1:8" x14ac:dyDescent="0.25">
      <c r="A1303" s="1" t="str">
        <f>"48004"</f>
        <v>48004</v>
      </c>
      <c r="B1303" s="1" t="str">
        <f>"47664"</f>
        <v>47664</v>
      </c>
      <c r="C1303" s="1" t="str">
        <f>"ANCHORVILLE"</f>
        <v>ANCHORVILLE</v>
      </c>
      <c r="D1303" s="1" t="str">
        <f>"MI"</f>
        <v>MI</v>
      </c>
      <c r="E1303" s="2">
        <v>1</v>
      </c>
      <c r="F1303" s="2">
        <v>0</v>
      </c>
      <c r="G1303" s="2">
        <v>1</v>
      </c>
      <c r="H1303" s="2">
        <v>1</v>
      </c>
    </row>
    <row r="1304" spans="1:8" x14ac:dyDescent="0.25">
      <c r="A1304" s="1" t="str">
        <f>"07495"</f>
        <v>07495</v>
      </c>
      <c r="B1304" s="1" t="str">
        <f>"35614"</f>
        <v>35614</v>
      </c>
      <c r="C1304" s="1" t="str">
        <f>"MAHWAH"</f>
        <v>MAHWAH</v>
      </c>
      <c r="D1304" s="1" t="str">
        <f>"NJ"</f>
        <v>NJ</v>
      </c>
      <c r="E1304" s="2">
        <v>1</v>
      </c>
      <c r="F1304" s="2">
        <v>1</v>
      </c>
      <c r="G1304" s="2">
        <v>1</v>
      </c>
      <c r="H1304" s="2">
        <v>1</v>
      </c>
    </row>
    <row r="1305" spans="1:8" x14ac:dyDescent="0.25">
      <c r="A1305" s="1" t="str">
        <f>"07977"</f>
        <v>07977</v>
      </c>
      <c r="B1305" s="1" t="str">
        <f>"35154"</f>
        <v>35154</v>
      </c>
      <c r="C1305" s="1" t="str">
        <f>"PEAPACK"</f>
        <v>PEAPACK</v>
      </c>
      <c r="D1305" s="1" t="str">
        <f>"NJ"</f>
        <v>NJ</v>
      </c>
      <c r="E1305" s="2">
        <v>1</v>
      </c>
      <c r="F1305" s="2">
        <v>1</v>
      </c>
      <c r="G1305" s="2">
        <v>1</v>
      </c>
      <c r="H1305" s="2">
        <v>1</v>
      </c>
    </row>
    <row r="1306" spans="1:8" x14ac:dyDescent="0.25">
      <c r="A1306" s="1" t="str">
        <f>"08809"</f>
        <v>08809</v>
      </c>
      <c r="B1306" s="1" t="str">
        <f>"35084"</f>
        <v>35084</v>
      </c>
      <c r="C1306" s="1" t="str">
        <f>"CLINTON"</f>
        <v>CLINTON</v>
      </c>
      <c r="D1306" s="1" t="str">
        <f>"NJ"</f>
        <v>NJ</v>
      </c>
      <c r="E1306" s="2">
        <v>1</v>
      </c>
      <c r="F1306" s="2">
        <v>1</v>
      </c>
      <c r="G1306" s="2">
        <v>1</v>
      </c>
      <c r="H1306" s="2">
        <v>1</v>
      </c>
    </row>
    <row r="1307" spans="1:8" x14ac:dyDescent="0.25">
      <c r="A1307" s="1" t="str">
        <f>"10162"</f>
        <v>10162</v>
      </c>
      <c r="B1307" s="1" t="str">
        <f>"35614"</f>
        <v>35614</v>
      </c>
      <c r="C1307" s="1" t="str">
        <f>"NEW YORK"</f>
        <v>NEW YORK</v>
      </c>
      <c r="D1307" s="1" t="str">
        <f>"NY"</f>
        <v>NY</v>
      </c>
      <c r="E1307" s="2">
        <v>1</v>
      </c>
      <c r="F1307" s="2">
        <v>1</v>
      </c>
      <c r="G1307" s="2">
        <v>1</v>
      </c>
      <c r="H1307" s="2">
        <v>1</v>
      </c>
    </row>
    <row r="1308" spans="1:8" x14ac:dyDescent="0.25">
      <c r="A1308" s="1" t="str">
        <f>"19730"</f>
        <v>19730</v>
      </c>
      <c r="B1308" s="1" t="str">
        <f>"48864"</f>
        <v>48864</v>
      </c>
      <c r="C1308" s="1" t="str">
        <f>"ODESSA"</f>
        <v>ODESSA</v>
      </c>
      <c r="D1308" s="1" t="str">
        <f>"DE"</f>
        <v>DE</v>
      </c>
      <c r="E1308" s="2">
        <v>1</v>
      </c>
      <c r="F1308" s="2">
        <v>1</v>
      </c>
      <c r="G1308" s="2">
        <v>1</v>
      </c>
      <c r="H1308" s="2">
        <v>1</v>
      </c>
    </row>
    <row r="1309" spans="1:8" x14ac:dyDescent="0.25">
      <c r="A1309" s="1" t="str">
        <f>"19716"</f>
        <v>19716</v>
      </c>
      <c r="B1309" s="1" t="str">
        <f>"48864"</f>
        <v>48864</v>
      </c>
      <c r="C1309" s="1" t="str">
        <f>"NEWARK"</f>
        <v>NEWARK</v>
      </c>
      <c r="D1309" s="1" t="str">
        <f>"DE"</f>
        <v>DE</v>
      </c>
      <c r="E1309" s="2">
        <v>1</v>
      </c>
      <c r="F1309" s="2">
        <v>1</v>
      </c>
      <c r="G1309" s="2">
        <v>1</v>
      </c>
      <c r="H1309" s="2">
        <v>1</v>
      </c>
    </row>
    <row r="1310" spans="1:8" x14ac:dyDescent="0.25">
      <c r="A1310" s="1" t="str">
        <f>"20374"</f>
        <v>20374</v>
      </c>
      <c r="B1310" s="1" t="str">
        <f>"47894"</f>
        <v>47894</v>
      </c>
      <c r="C1310" s="1" t="str">
        <f>"WASHINGTON NAVY YARD"</f>
        <v>WASHINGTON NAVY YARD</v>
      </c>
      <c r="D1310" s="1" t="str">
        <f>"DC"</f>
        <v>DC</v>
      </c>
      <c r="E1310" s="2">
        <v>0</v>
      </c>
      <c r="F1310" s="2">
        <v>1</v>
      </c>
      <c r="G1310" s="2">
        <v>1</v>
      </c>
      <c r="H1310" s="2">
        <v>1</v>
      </c>
    </row>
    <row r="1311" spans="1:8" x14ac:dyDescent="0.25">
      <c r="A1311" s="1" t="str">
        <f>"21716"</f>
        <v>21716</v>
      </c>
      <c r="B1311" s="1" t="str">
        <f>"23224"</f>
        <v>23224</v>
      </c>
      <c r="C1311" s="1" t="str">
        <f>"BRUNSWICK"</f>
        <v>BRUNSWICK</v>
      </c>
      <c r="D1311" s="1" t="str">
        <f>"MD"</f>
        <v>MD</v>
      </c>
      <c r="E1311" s="2">
        <v>1</v>
      </c>
      <c r="F1311" s="2">
        <v>1</v>
      </c>
      <c r="G1311" s="2">
        <v>1</v>
      </c>
      <c r="H1311" s="2">
        <v>1</v>
      </c>
    </row>
    <row r="1312" spans="1:8" x14ac:dyDescent="0.25">
      <c r="A1312" s="1" t="str">
        <f>"91008"</f>
        <v>91008</v>
      </c>
      <c r="B1312" s="1" t="str">
        <f>"31084"</f>
        <v>31084</v>
      </c>
      <c r="C1312" s="1" t="str">
        <f>"DUARTE"</f>
        <v>DUARTE</v>
      </c>
      <c r="D1312" s="1" t="str">
        <f>"CA"</f>
        <v>CA</v>
      </c>
      <c r="E1312" s="2">
        <v>1</v>
      </c>
      <c r="F1312" s="2">
        <v>1</v>
      </c>
      <c r="G1312" s="2">
        <v>1</v>
      </c>
      <c r="H1312" s="2">
        <v>1</v>
      </c>
    </row>
    <row r="1313" spans="1:8" x14ac:dyDescent="0.25">
      <c r="A1313" s="1" t="str">
        <f>"46401"</f>
        <v>46401</v>
      </c>
      <c r="B1313" s="1" t="str">
        <f>"23844"</f>
        <v>23844</v>
      </c>
      <c r="C1313" s="1" t="str">
        <f>"GARY"</f>
        <v>GARY</v>
      </c>
      <c r="D1313" s="1" t="str">
        <f>"IN"</f>
        <v>IN</v>
      </c>
      <c r="E1313" s="2">
        <v>1</v>
      </c>
      <c r="F1313" s="2">
        <v>1</v>
      </c>
      <c r="G1313" s="2">
        <v>1</v>
      </c>
      <c r="H1313" s="2">
        <v>1</v>
      </c>
    </row>
    <row r="1314" spans="1:8" x14ac:dyDescent="0.25">
      <c r="A1314" s="1" t="str">
        <f>"92735"</f>
        <v>92735</v>
      </c>
      <c r="B1314" s="1" t="str">
        <f>"11244"</f>
        <v>11244</v>
      </c>
      <c r="C1314" s="1" t="str">
        <f>"SANTA ANA"</f>
        <v>SANTA ANA</v>
      </c>
      <c r="D1314" s="1" t="str">
        <f>"CA"</f>
        <v>CA</v>
      </c>
      <c r="E1314" s="2">
        <v>1</v>
      </c>
      <c r="F1314" s="2">
        <v>1</v>
      </c>
      <c r="G1314" s="2">
        <v>1</v>
      </c>
      <c r="H1314" s="2">
        <v>1</v>
      </c>
    </row>
    <row r="1315" spans="1:8" x14ac:dyDescent="0.25">
      <c r="A1315" s="1" t="str">
        <f>"94164"</f>
        <v>94164</v>
      </c>
      <c r="B1315" s="1" t="str">
        <f>"41884"</f>
        <v>41884</v>
      </c>
      <c r="C1315" s="1" t="str">
        <f>"SAN FRANCISCO"</f>
        <v>SAN FRANCISCO</v>
      </c>
      <c r="D1315" s="1" t="str">
        <f>"CA"</f>
        <v>CA</v>
      </c>
      <c r="E1315" s="2">
        <v>1</v>
      </c>
      <c r="F1315" s="2">
        <v>1</v>
      </c>
      <c r="G1315" s="2">
        <v>1</v>
      </c>
      <c r="H1315" s="2">
        <v>1</v>
      </c>
    </row>
    <row r="1316" spans="1:8" x14ac:dyDescent="0.25">
      <c r="A1316" s="1" t="str">
        <f>"19736"</f>
        <v>19736</v>
      </c>
      <c r="B1316" s="1" t="str">
        <f>"48864"</f>
        <v>48864</v>
      </c>
      <c r="C1316" s="1" t="str">
        <f>"YORKLYN"</f>
        <v>YORKLYN</v>
      </c>
      <c r="D1316" s="1" t="str">
        <f>"DE"</f>
        <v>DE</v>
      </c>
      <c r="E1316" s="2">
        <v>1</v>
      </c>
      <c r="F1316" s="2">
        <v>1</v>
      </c>
      <c r="G1316" s="2">
        <v>1</v>
      </c>
      <c r="H1316" s="2">
        <v>1</v>
      </c>
    </row>
    <row r="1317" spans="1:8" x14ac:dyDescent="0.25">
      <c r="A1317" s="1" t="str">
        <f>"11531"</f>
        <v>11531</v>
      </c>
      <c r="B1317" s="1" t="str">
        <f>"35004"</f>
        <v>35004</v>
      </c>
      <c r="C1317" s="1" t="str">
        <f>"GARDEN CITY"</f>
        <v>GARDEN CITY</v>
      </c>
      <c r="D1317" s="1" t="str">
        <f>"NY"</f>
        <v>NY</v>
      </c>
      <c r="E1317" s="2">
        <v>1</v>
      </c>
      <c r="F1317" s="2">
        <v>1</v>
      </c>
      <c r="G1317" s="2">
        <v>1</v>
      </c>
      <c r="H1317" s="2">
        <v>1</v>
      </c>
    </row>
    <row r="1318" spans="1:8" x14ac:dyDescent="0.25">
      <c r="A1318" s="1" t="str">
        <f>"91199"</f>
        <v>91199</v>
      </c>
      <c r="B1318" s="1" t="str">
        <f>"31084"</f>
        <v>31084</v>
      </c>
      <c r="C1318" s="1" t="str">
        <f>"PASADENA"</f>
        <v>PASADENA</v>
      </c>
      <c r="D1318" s="1" t="str">
        <f>"CA"</f>
        <v>CA</v>
      </c>
      <c r="E1318" s="2">
        <v>0</v>
      </c>
      <c r="F1318" s="2">
        <v>1</v>
      </c>
      <c r="G1318" s="2">
        <v>0</v>
      </c>
      <c r="H1318" s="2">
        <v>1</v>
      </c>
    </row>
    <row r="1319" spans="1:8" x14ac:dyDescent="0.25">
      <c r="A1319" s="1" t="str">
        <f>"20717"</f>
        <v>20717</v>
      </c>
      <c r="B1319" s="1" t="str">
        <f>"47894"</f>
        <v>47894</v>
      </c>
      <c r="C1319" s="1" t="str">
        <f>"BOWIE"</f>
        <v>BOWIE</v>
      </c>
      <c r="D1319" s="1" t="str">
        <f>"MD"</f>
        <v>MD</v>
      </c>
      <c r="E1319" s="2">
        <v>1</v>
      </c>
      <c r="F1319" s="2">
        <v>1</v>
      </c>
      <c r="G1319" s="2">
        <v>1</v>
      </c>
      <c r="H1319" s="2">
        <v>1</v>
      </c>
    </row>
    <row r="1320" spans="1:8" x14ac:dyDescent="0.25">
      <c r="A1320" s="1" t="str">
        <f>"20226"</f>
        <v>20226</v>
      </c>
      <c r="B1320" s="1" t="str">
        <f>"47894"</f>
        <v>47894</v>
      </c>
      <c r="C1320" s="1" t="str">
        <f>"WASHINGTON"</f>
        <v>WASHINGTON</v>
      </c>
      <c r="D1320" s="1" t="str">
        <f>"DC"</f>
        <v>DC</v>
      </c>
      <c r="E1320" s="2">
        <v>0</v>
      </c>
      <c r="F1320" s="2">
        <v>1</v>
      </c>
      <c r="G1320" s="2">
        <v>0</v>
      </c>
      <c r="H1320" s="2">
        <v>1</v>
      </c>
    </row>
    <row r="1321" spans="1:8" x14ac:dyDescent="0.25">
      <c r="A1321" s="1" t="str">
        <f>"03815"</f>
        <v>03815</v>
      </c>
      <c r="B1321" s="1" t="str">
        <f>"40484"</f>
        <v>40484</v>
      </c>
      <c r="C1321" s="1" t="str">
        <f>"CENTER STRAFFORD"</f>
        <v>CENTER STRAFFORD</v>
      </c>
      <c r="D1321" s="1" t="str">
        <f>"NH"</f>
        <v>NH</v>
      </c>
      <c r="E1321" s="2">
        <v>1</v>
      </c>
      <c r="F1321" s="2">
        <v>0</v>
      </c>
      <c r="G1321" s="2">
        <v>0</v>
      </c>
      <c r="H1321" s="2">
        <v>1</v>
      </c>
    </row>
    <row r="1322" spans="1:8" x14ac:dyDescent="0.25">
      <c r="A1322" s="1" t="str">
        <f>"91610"</f>
        <v>91610</v>
      </c>
      <c r="B1322" s="1" t="str">
        <f>"31084"</f>
        <v>31084</v>
      </c>
      <c r="C1322" s="1" t="str">
        <f>"TOLUCA LAKE"</f>
        <v>TOLUCA LAKE</v>
      </c>
      <c r="D1322" s="1" t="str">
        <f>"CA"</f>
        <v>CA</v>
      </c>
      <c r="E1322" s="2">
        <v>1</v>
      </c>
      <c r="F1322" s="2">
        <v>1</v>
      </c>
      <c r="G1322" s="2">
        <v>1</v>
      </c>
      <c r="H1322" s="2">
        <v>1</v>
      </c>
    </row>
    <row r="1323" spans="1:8" x14ac:dyDescent="0.25">
      <c r="A1323" s="1" t="str">
        <f>"53194"</f>
        <v>53194</v>
      </c>
      <c r="B1323" s="1" t="str">
        <f>"29404"</f>
        <v>29404</v>
      </c>
      <c r="C1323" s="1" t="str">
        <f>"WOODWORTH"</f>
        <v>WOODWORTH</v>
      </c>
      <c r="D1323" s="1" t="str">
        <f>"WI"</f>
        <v>WI</v>
      </c>
      <c r="E1323" s="2">
        <v>0</v>
      </c>
      <c r="F1323" s="2">
        <v>0</v>
      </c>
      <c r="G1323" s="2">
        <v>1</v>
      </c>
      <c r="H1323" s="2">
        <v>1</v>
      </c>
    </row>
    <row r="1324" spans="1:8" x14ac:dyDescent="0.25">
      <c r="A1324" s="1" t="str">
        <f>"33198"</f>
        <v>33198</v>
      </c>
      <c r="B1324" s="1" t="str">
        <f>"33124"</f>
        <v>33124</v>
      </c>
      <c r="C1324" s="1" t="str">
        <f>"MIAMI"</f>
        <v>MIAMI</v>
      </c>
      <c r="D1324" s="1" t="str">
        <f>"FL"</f>
        <v>FL</v>
      </c>
      <c r="E1324" s="2">
        <v>0</v>
      </c>
      <c r="F1324" s="2">
        <v>1</v>
      </c>
      <c r="G1324" s="2">
        <v>1</v>
      </c>
      <c r="H1324" s="2">
        <v>1</v>
      </c>
    </row>
    <row r="1325" spans="1:8" x14ac:dyDescent="0.25">
      <c r="A1325" s="1" t="str">
        <f>"94141"</f>
        <v>94141</v>
      </c>
      <c r="B1325" s="1" t="str">
        <f>"41884"</f>
        <v>41884</v>
      </c>
      <c r="C1325" s="1" t="str">
        <f>"SAN FRANCISCO"</f>
        <v>SAN FRANCISCO</v>
      </c>
      <c r="D1325" s="1" t="str">
        <f>"CA"</f>
        <v>CA</v>
      </c>
      <c r="E1325" s="2">
        <v>1</v>
      </c>
      <c r="F1325" s="2">
        <v>1</v>
      </c>
      <c r="G1325" s="2">
        <v>1</v>
      </c>
      <c r="H1325" s="2">
        <v>1</v>
      </c>
    </row>
    <row r="1326" spans="1:8" x14ac:dyDescent="0.25">
      <c r="A1326" s="1" t="str">
        <f>"10311"</f>
        <v>10311</v>
      </c>
      <c r="B1326" s="1" t="str">
        <f>"35614"</f>
        <v>35614</v>
      </c>
      <c r="C1326" s="1" t="str">
        <f>"STATEN ISLAND"</f>
        <v>STATEN ISLAND</v>
      </c>
      <c r="D1326" s="1" t="str">
        <f>"NY"</f>
        <v>NY</v>
      </c>
      <c r="E1326" s="2">
        <v>0</v>
      </c>
      <c r="F1326" s="2">
        <v>1</v>
      </c>
      <c r="G1326" s="2">
        <v>1</v>
      </c>
      <c r="H1326" s="2">
        <v>1</v>
      </c>
    </row>
    <row r="1327" spans="1:8" x14ac:dyDescent="0.25">
      <c r="A1327" s="1" t="str">
        <f>"19108"</f>
        <v>19108</v>
      </c>
      <c r="B1327" s="1" t="str">
        <f>"37964"</f>
        <v>37964</v>
      </c>
      <c r="C1327" s="1" t="str">
        <f>"PHILADELPHIA"</f>
        <v>PHILADELPHIA</v>
      </c>
      <c r="D1327" s="1" t="str">
        <f>"PA"</f>
        <v>PA</v>
      </c>
      <c r="E1327" s="2">
        <v>0</v>
      </c>
      <c r="F1327" s="2">
        <v>1</v>
      </c>
      <c r="G1327" s="2">
        <v>1</v>
      </c>
      <c r="H1327" s="2">
        <v>1</v>
      </c>
    </row>
    <row r="1328" spans="1:8" x14ac:dyDescent="0.25">
      <c r="A1328" s="1" t="str">
        <f>"10275"</f>
        <v>10275</v>
      </c>
      <c r="B1328" s="1" t="str">
        <f>"35614"</f>
        <v>35614</v>
      </c>
      <c r="C1328" s="1" t="str">
        <f>"NEW YORK"</f>
        <v>NEW YORK</v>
      </c>
      <c r="D1328" s="1" t="str">
        <f>"NY"</f>
        <v>NY</v>
      </c>
      <c r="E1328" s="2">
        <v>0</v>
      </c>
      <c r="F1328" s="2">
        <v>0</v>
      </c>
      <c r="G1328" s="2">
        <v>1</v>
      </c>
      <c r="H1328" s="2">
        <v>1</v>
      </c>
    </row>
    <row r="1329" spans="1:8" x14ac:dyDescent="0.25">
      <c r="A1329" s="1" t="str">
        <f>"76019"</f>
        <v>76019</v>
      </c>
      <c r="B1329" s="1" t="str">
        <f>"23104"</f>
        <v>23104</v>
      </c>
      <c r="C1329" s="1" t="str">
        <f>"ARLINGTON"</f>
        <v>ARLINGTON</v>
      </c>
      <c r="D1329" s="1" t="str">
        <f>"TX"</f>
        <v>TX</v>
      </c>
      <c r="E1329" s="2">
        <v>0</v>
      </c>
      <c r="F1329" s="2">
        <v>1</v>
      </c>
      <c r="G1329" s="2">
        <v>1</v>
      </c>
      <c r="H1329" s="2">
        <v>1</v>
      </c>
    </row>
    <row r="1330" spans="1:8" x14ac:dyDescent="0.25">
      <c r="A1330" s="1" t="str">
        <f>"91804"</f>
        <v>91804</v>
      </c>
      <c r="B1330" s="1" t="str">
        <f>"31084"</f>
        <v>31084</v>
      </c>
      <c r="C1330" s="1" t="str">
        <f>"ALHAMBRA"</f>
        <v>ALHAMBRA</v>
      </c>
      <c r="D1330" s="1" t="str">
        <f>"CA"</f>
        <v>CA</v>
      </c>
      <c r="E1330" s="2">
        <v>0</v>
      </c>
      <c r="F1330" s="2">
        <v>0</v>
      </c>
      <c r="G1330" s="2">
        <v>1</v>
      </c>
      <c r="H1330" s="2">
        <v>1</v>
      </c>
    </row>
    <row r="1331" spans="1:8" x14ac:dyDescent="0.25">
      <c r="A1331" s="1" t="str">
        <f>"98344"</f>
        <v>98344</v>
      </c>
      <c r="B1331" s="1" t="str">
        <f>"45104"</f>
        <v>45104</v>
      </c>
      <c r="C1331" s="1" t="str">
        <f>"KAPOWSIN"</f>
        <v>KAPOWSIN</v>
      </c>
      <c r="D1331" s="1" t="str">
        <f>"WA"</f>
        <v>WA</v>
      </c>
      <c r="E1331" s="2">
        <v>0</v>
      </c>
      <c r="F1331" s="2">
        <v>0</v>
      </c>
      <c r="G1331" s="2">
        <v>1</v>
      </c>
      <c r="H1331" s="2">
        <v>1</v>
      </c>
    </row>
    <row r="1332" spans="1:8" x14ac:dyDescent="0.25">
      <c r="A1332" s="1" t="str">
        <f>"20572"</f>
        <v>20572</v>
      </c>
      <c r="B1332" s="1" t="str">
        <f>"47894"</f>
        <v>47894</v>
      </c>
      <c r="C1332" s="1" t="str">
        <f>"WASHINGTON"</f>
        <v>WASHINGTON</v>
      </c>
      <c r="D1332" s="1" t="str">
        <f>"DC"</f>
        <v>DC</v>
      </c>
      <c r="E1332" s="2">
        <v>0</v>
      </c>
      <c r="F1332" s="2">
        <v>1</v>
      </c>
      <c r="G1332" s="2">
        <v>0</v>
      </c>
      <c r="H1332" s="2">
        <v>1</v>
      </c>
    </row>
    <row r="1333" spans="1:8" x14ac:dyDescent="0.25">
      <c r="A1333" s="1" t="str">
        <f>"76272"</f>
        <v>76272</v>
      </c>
      <c r="B1333" s="1" t="str">
        <f>"19124"</f>
        <v>19124</v>
      </c>
      <c r="C1333" s="1" t="str">
        <f>"VALLEY VIEW"</f>
        <v>VALLEY VIEW</v>
      </c>
      <c r="D1333" s="1" t="str">
        <f>"TX"</f>
        <v>TX</v>
      </c>
      <c r="E1333" s="2">
        <v>1</v>
      </c>
      <c r="F1333" s="2">
        <v>0</v>
      </c>
      <c r="G1333" s="2">
        <v>0</v>
      </c>
      <c r="H1333" s="2">
        <v>1</v>
      </c>
    </row>
    <row r="1334" spans="1:8" x14ac:dyDescent="0.25">
      <c r="A1334" s="1" t="str">
        <f>"60075"</f>
        <v>60075</v>
      </c>
      <c r="B1334" s="1" t="str">
        <f>"29404"</f>
        <v>29404</v>
      </c>
      <c r="C1334" s="1" t="str">
        <f>"RUSSELL"</f>
        <v>RUSSELL</v>
      </c>
      <c r="D1334" s="1" t="str">
        <f>"IL"</f>
        <v>IL</v>
      </c>
      <c r="E1334" s="2">
        <v>1</v>
      </c>
      <c r="F1334" s="2">
        <v>0</v>
      </c>
      <c r="G1334" s="2">
        <v>1</v>
      </c>
      <c r="H1334" s="2">
        <v>1</v>
      </c>
    </row>
    <row r="1335" spans="1:8" x14ac:dyDescent="0.25">
      <c r="A1335" s="1" t="str">
        <f>"10285"</f>
        <v>10285</v>
      </c>
      <c r="B1335" s="1" t="str">
        <f>"35614"</f>
        <v>35614</v>
      </c>
      <c r="C1335" s="1" t="str">
        <f>"NEW YORK"</f>
        <v>NEW YORK</v>
      </c>
      <c r="D1335" s="1" t="str">
        <f>"NY"</f>
        <v>NY</v>
      </c>
      <c r="E1335" s="2">
        <v>0</v>
      </c>
      <c r="F1335" s="2">
        <v>1</v>
      </c>
      <c r="G1335" s="2">
        <v>1</v>
      </c>
      <c r="H1335" s="2">
        <v>1</v>
      </c>
    </row>
    <row r="1336" spans="1:8" x14ac:dyDescent="0.25">
      <c r="A1336" s="1" t="str">
        <f>"03809"</f>
        <v>03809</v>
      </c>
      <c r="B1336" s="1" t="str">
        <f>"40484"</f>
        <v>40484</v>
      </c>
      <c r="C1336" s="1" t="str">
        <f>"ALTON"</f>
        <v>ALTON</v>
      </c>
      <c r="D1336" s="1" t="str">
        <f>"NH"</f>
        <v>NH</v>
      </c>
      <c r="E1336" s="2">
        <v>1</v>
      </c>
      <c r="F1336" s="2">
        <v>0</v>
      </c>
      <c r="G1336" s="2">
        <v>0</v>
      </c>
      <c r="H1336" s="2">
        <v>1</v>
      </c>
    </row>
    <row r="1337" spans="1:8" x14ac:dyDescent="0.25">
      <c r="A1337" s="1" t="str">
        <f>"18935"</f>
        <v>18935</v>
      </c>
      <c r="B1337" s="1" t="str">
        <f>"33874"</f>
        <v>33874</v>
      </c>
      <c r="C1337" s="1" t="str">
        <f>"MILFORD SQUARE"</f>
        <v>MILFORD SQUARE</v>
      </c>
      <c r="D1337" s="1" t="str">
        <f>"PA"</f>
        <v>PA</v>
      </c>
      <c r="E1337" s="2">
        <v>1</v>
      </c>
      <c r="F1337" s="2">
        <v>0</v>
      </c>
      <c r="G1337" s="2">
        <v>1</v>
      </c>
      <c r="H1337" s="2">
        <v>1</v>
      </c>
    </row>
    <row r="1338" spans="1:8" x14ac:dyDescent="0.25">
      <c r="A1338" s="1" t="str">
        <f>"22240"</f>
        <v>22240</v>
      </c>
      <c r="B1338" s="1" t="str">
        <f>"47894"</f>
        <v>47894</v>
      </c>
      <c r="C1338" s="1" t="str">
        <f>"ARLINGTON"</f>
        <v>ARLINGTON</v>
      </c>
      <c r="D1338" s="1" t="str">
        <f>"VA"</f>
        <v>VA</v>
      </c>
      <c r="E1338" s="2">
        <v>0</v>
      </c>
      <c r="F1338" s="2">
        <v>1</v>
      </c>
      <c r="G1338" s="2">
        <v>0</v>
      </c>
      <c r="H1338" s="2">
        <v>1</v>
      </c>
    </row>
    <row r="1339" spans="1:8" x14ac:dyDescent="0.25">
      <c r="A1339" s="1" t="str">
        <f>"20434"</f>
        <v>20434</v>
      </c>
      <c r="B1339" s="1" t="str">
        <f>"47894"</f>
        <v>47894</v>
      </c>
      <c r="C1339" s="1" t="str">
        <f>"WASHINGTON"</f>
        <v>WASHINGTON</v>
      </c>
      <c r="D1339" s="1" t="str">
        <f>"DC"</f>
        <v>DC</v>
      </c>
      <c r="E1339" s="2">
        <v>0</v>
      </c>
      <c r="F1339" s="2">
        <v>1</v>
      </c>
      <c r="G1339" s="2">
        <v>0</v>
      </c>
      <c r="H1339" s="2">
        <v>1</v>
      </c>
    </row>
    <row r="1340" spans="1:8" x14ac:dyDescent="0.25">
      <c r="A1340" s="1" t="str">
        <f>"22067"</f>
        <v>22067</v>
      </c>
      <c r="B1340" s="1" t="str">
        <f>"47894"</f>
        <v>47894</v>
      </c>
      <c r="C1340" s="1" t="str">
        <f>"GREENWAY"</f>
        <v>GREENWAY</v>
      </c>
      <c r="D1340" s="1" t="str">
        <f>"VA"</f>
        <v>VA</v>
      </c>
      <c r="E1340" s="2">
        <v>0</v>
      </c>
      <c r="F1340" s="2">
        <v>1</v>
      </c>
      <c r="G1340" s="2">
        <v>1</v>
      </c>
      <c r="H1340" s="2">
        <v>1</v>
      </c>
    </row>
    <row r="1341" spans="1:8" x14ac:dyDescent="0.25">
      <c r="A1341" s="1" t="str">
        <f>"20244"</f>
        <v>20244</v>
      </c>
      <c r="B1341" s="1" t="str">
        <f>"47894"</f>
        <v>47894</v>
      </c>
      <c r="C1341" s="1" t="str">
        <f>"WASHINGTON"</f>
        <v>WASHINGTON</v>
      </c>
      <c r="D1341" s="1" t="str">
        <f>"DC"</f>
        <v>DC</v>
      </c>
      <c r="E1341" s="2">
        <v>0</v>
      </c>
      <c r="F1341" s="2">
        <v>1</v>
      </c>
      <c r="G1341" s="2">
        <v>0</v>
      </c>
      <c r="H1341" s="2">
        <v>1</v>
      </c>
    </row>
    <row r="1342" spans="1:8" x14ac:dyDescent="0.25">
      <c r="A1342" s="1" t="str">
        <f>"01805"</f>
        <v>01805</v>
      </c>
      <c r="B1342" s="1" t="str">
        <f>"15764"</f>
        <v>15764</v>
      </c>
      <c r="C1342" s="1" t="str">
        <f>"BURLINGTON"</f>
        <v>BURLINGTON</v>
      </c>
      <c r="D1342" s="1" t="str">
        <f>"MA"</f>
        <v>MA</v>
      </c>
      <c r="E1342" s="2">
        <v>0</v>
      </c>
      <c r="F1342" s="2">
        <v>1</v>
      </c>
      <c r="G1342" s="2">
        <v>0</v>
      </c>
      <c r="H1342" s="2">
        <v>1</v>
      </c>
    </row>
    <row r="1343" spans="1:8" x14ac:dyDescent="0.25">
      <c r="A1343" s="1" t="str">
        <f>"08803"</f>
        <v>08803</v>
      </c>
      <c r="B1343" s="1" t="str">
        <f>"35084"</f>
        <v>35084</v>
      </c>
      <c r="C1343" s="1" t="str">
        <f>"BAPTISTOWN"</f>
        <v>BAPTISTOWN</v>
      </c>
      <c r="D1343" s="1" t="str">
        <f>"NJ"</f>
        <v>NJ</v>
      </c>
      <c r="E1343" s="2">
        <v>0</v>
      </c>
      <c r="F1343" s="2">
        <v>1</v>
      </c>
      <c r="G1343" s="2">
        <v>0</v>
      </c>
      <c r="H1343" s="2">
        <v>1</v>
      </c>
    </row>
    <row r="1344" spans="1:8" x14ac:dyDescent="0.25">
      <c r="A1344" s="1" t="str">
        <f>"98447"</f>
        <v>98447</v>
      </c>
      <c r="B1344" s="1" t="str">
        <f>"45104"</f>
        <v>45104</v>
      </c>
      <c r="C1344" s="1" t="str">
        <f>"TACOMA"</f>
        <v>TACOMA</v>
      </c>
      <c r="D1344" s="1" t="str">
        <f>"WA"</f>
        <v>WA</v>
      </c>
      <c r="E1344" s="2">
        <v>0</v>
      </c>
      <c r="F1344" s="2">
        <v>1</v>
      </c>
      <c r="G1344" s="2">
        <v>1</v>
      </c>
      <c r="H1344" s="2">
        <v>1</v>
      </c>
    </row>
    <row r="1345" spans="1:8" x14ac:dyDescent="0.25">
      <c r="A1345" s="1" t="str">
        <f>"10545"</f>
        <v>10545</v>
      </c>
      <c r="B1345" s="1" t="str">
        <f>"35614"</f>
        <v>35614</v>
      </c>
      <c r="C1345" s="1" t="str">
        <f>"MARYKNOLL"</f>
        <v>MARYKNOLL</v>
      </c>
      <c r="D1345" s="1" t="str">
        <f>"NY"</f>
        <v>NY</v>
      </c>
      <c r="E1345" s="2">
        <v>0</v>
      </c>
      <c r="F1345" s="2">
        <v>0</v>
      </c>
      <c r="G1345" s="2">
        <v>1</v>
      </c>
      <c r="H1345" s="2">
        <v>1</v>
      </c>
    </row>
    <row r="1346" spans="1:8" x14ac:dyDescent="0.25">
      <c r="A1346" s="1" t="str">
        <f>"56998"</f>
        <v>56998</v>
      </c>
      <c r="B1346" s="1" t="str">
        <f>"47894"</f>
        <v>47894</v>
      </c>
      <c r="C1346" s="1" t="str">
        <f>"PARCEL RETURN SERVICE"</f>
        <v>PARCEL RETURN SERVICE</v>
      </c>
      <c r="D1346" s="1" t="str">
        <f>"DC"</f>
        <v>DC</v>
      </c>
      <c r="E1346" s="2">
        <v>0</v>
      </c>
      <c r="F1346" s="2">
        <v>1</v>
      </c>
      <c r="G1346" s="2">
        <v>0</v>
      </c>
      <c r="H1346" s="2">
        <v>1</v>
      </c>
    </row>
    <row r="1347" spans="1:8" x14ac:dyDescent="0.25">
      <c r="A1347" s="1" t="str">
        <f>"33459"</f>
        <v>33459</v>
      </c>
      <c r="B1347" s="1" t="str">
        <f>"48424"</f>
        <v>48424</v>
      </c>
      <c r="C1347" s="1" t="str">
        <f>"LAKE HARBOR"</f>
        <v>LAKE HARBOR</v>
      </c>
      <c r="D1347" s="1" t="str">
        <f>"FL"</f>
        <v>FL</v>
      </c>
      <c r="E1347" s="2">
        <v>0</v>
      </c>
      <c r="F1347" s="2">
        <v>1</v>
      </c>
      <c r="G1347" s="2">
        <v>0</v>
      </c>
      <c r="H1347" s="2">
        <v>1</v>
      </c>
    </row>
    <row r="1348" spans="1:8" x14ac:dyDescent="0.25">
      <c r="A1348" s="1" t="str">
        <f>"19718"</f>
        <v>19718</v>
      </c>
      <c r="B1348" s="1" t="str">
        <f>"48864"</f>
        <v>48864</v>
      </c>
      <c r="C1348" s="1" t="str">
        <f>"NEWARK"</f>
        <v>NEWARK</v>
      </c>
      <c r="D1348" s="1" t="str">
        <f>"DE"</f>
        <v>DE</v>
      </c>
      <c r="E1348" s="2">
        <v>0</v>
      </c>
      <c r="F1348" s="2">
        <v>1</v>
      </c>
      <c r="G1348" s="2">
        <v>0</v>
      </c>
      <c r="H1348" s="2">
        <v>1</v>
      </c>
    </row>
    <row r="1349" spans="1:8" x14ac:dyDescent="0.25">
      <c r="A1349" s="1" t="str">
        <f>"18980"</f>
        <v>18980</v>
      </c>
      <c r="B1349" s="1" t="str">
        <f>"33874"</f>
        <v>33874</v>
      </c>
      <c r="C1349" s="1" t="str">
        <f>"WYCOMBE"</f>
        <v>WYCOMBE</v>
      </c>
      <c r="D1349" s="1" t="str">
        <f>"PA"</f>
        <v>PA</v>
      </c>
      <c r="E1349" s="2">
        <v>0</v>
      </c>
      <c r="F1349" s="2">
        <v>0</v>
      </c>
      <c r="G1349" s="2">
        <v>1</v>
      </c>
      <c r="H1349" s="2">
        <v>1</v>
      </c>
    </row>
    <row r="1350" spans="1:8" x14ac:dyDescent="0.25">
      <c r="A1350" s="1" t="str">
        <f>"75485"</f>
        <v>75485</v>
      </c>
      <c r="B1350" s="1" t="str">
        <f>"19124"</f>
        <v>19124</v>
      </c>
      <c r="C1350" s="1" t="str">
        <f>"WESTMINSTER"</f>
        <v>WESTMINSTER</v>
      </c>
      <c r="D1350" s="1" t="str">
        <f>"TX"</f>
        <v>TX</v>
      </c>
      <c r="E1350" s="2">
        <v>0</v>
      </c>
      <c r="F1350" s="2">
        <v>0</v>
      </c>
      <c r="G1350" s="2">
        <v>1</v>
      </c>
      <c r="H1350" s="2">
        <v>1</v>
      </c>
    </row>
    <row r="1351" spans="1:8" x14ac:dyDescent="0.25">
      <c r="A1351" s="1" t="str">
        <f>"20160"</f>
        <v>20160</v>
      </c>
      <c r="B1351" s="1" t="str">
        <f>"47894"</f>
        <v>47894</v>
      </c>
      <c r="C1351" s="1" t="str">
        <f>"LINCOLN"</f>
        <v>LINCOLN</v>
      </c>
      <c r="D1351" s="1" t="str">
        <f>"VA"</f>
        <v>VA</v>
      </c>
      <c r="E1351" s="2">
        <v>0</v>
      </c>
      <c r="F1351" s="2">
        <v>0</v>
      </c>
      <c r="G1351" s="2">
        <v>1</v>
      </c>
      <c r="H1351" s="2">
        <v>1</v>
      </c>
    </row>
    <row r="1352" spans="1:8" x14ac:dyDescent="0.25">
      <c r="A1352" s="1" t="str">
        <f>"01754"</f>
        <v>01754</v>
      </c>
      <c r="B1352" s="1" t="str">
        <f>"15764"</f>
        <v>15764</v>
      </c>
      <c r="C1352" s="1" t="str">
        <f>"MAYNARD"</f>
        <v>MAYNARD</v>
      </c>
      <c r="D1352" s="1" t="str">
        <f t="shared" ref="D1352:D1361" si="94">"MA"</f>
        <v>MA</v>
      </c>
      <c r="E1352" s="2">
        <v>1</v>
      </c>
      <c r="F1352" s="2">
        <v>1</v>
      </c>
      <c r="G1352" s="2">
        <v>1</v>
      </c>
      <c r="H1352" s="2">
        <v>1</v>
      </c>
    </row>
    <row r="1353" spans="1:8" x14ac:dyDescent="0.25">
      <c r="A1353" s="1" t="str">
        <f>"01773"</f>
        <v>01773</v>
      </c>
      <c r="B1353" s="1" t="str">
        <f>"15764"</f>
        <v>15764</v>
      </c>
      <c r="C1353" s="1" t="str">
        <f>"LINCOLN"</f>
        <v>LINCOLN</v>
      </c>
      <c r="D1353" s="1" t="str">
        <f t="shared" si="94"/>
        <v>MA</v>
      </c>
      <c r="E1353" s="2">
        <v>1</v>
      </c>
      <c r="F1353" s="2">
        <v>1</v>
      </c>
      <c r="G1353" s="2">
        <v>1</v>
      </c>
      <c r="H1353" s="2">
        <v>1</v>
      </c>
    </row>
    <row r="1354" spans="1:8" x14ac:dyDescent="0.25">
      <c r="A1354" s="1" t="str">
        <f>"01950"</f>
        <v>01950</v>
      </c>
      <c r="B1354" s="1" t="str">
        <f>"15764"</f>
        <v>15764</v>
      </c>
      <c r="C1354" s="1" t="str">
        <f>"NEWBURYPORT"</f>
        <v>NEWBURYPORT</v>
      </c>
      <c r="D1354" s="1" t="str">
        <f t="shared" si="94"/>
        <v>MA</v>
      </c>
      <c r="E1354" s="2">
        <v>1</v>
      </c>
      <c r="F1354" s="2">
        <v>1</v>
      </c>
      <c r="G1354" s="2">
        <v>1</v>
      </c>
      <c r="H1354" s="2">
        <v>1</v>
      </c>
    </row>
    <row r="1355" spans="1:8" x14ac:dyDescent="0.25">
      <c r="A1355" s="1" t="str">
        <f>"02026"</f>
        <v>02026</v>
      </c>
      <c r="B1355" s="1" t="str">
        <f>"14454"</f>
        <v>14454</v>
      </c>
      <c r="C1355" s="1" t="str">
        <f>"DEDHAM"</f>
        <v>DEDHAM</v>
      </c>
      <c r="D1355" s="1" t="str">
        <f t="shared" si="94"/>
        <v>MA</v>
      </c>
      <c r="E1355" s="2">
        <v>1</v>
      </c>
      <c r="F1355" s="2">
        <v>1</v>
      </c>
      <c r="G1355" s="2">
        <v>1</v>
      </c>
      <c r="H1355" s="2">
        <v>1</v>
      </c>
    </row>
    <row r="1356" spans="1:8" x14ac:dyDescent="0.25">
      <c r="A1356" s="1" t="str">
        <f>"02138"</f>
        <v>02138</v>
      </c>
      <c r="B1356" s="1" t="str">
        <f>"15764"</f>
        <v>15764</v>
      </c>
      <c r="C1356" s="1" t="str">
        <f>"CAMBRIDGE"</f>
        <v>CAMBRIDGE</v>
      </c>
      <c r="D1356" s="1" t="str">
        <f t="shared" si="94"/>
        <v>MA</v>
      </c>
      <c r="E1356" s="2">
        <v>1</v>
      </c>
      <c r="F1356" s="2">
        <v>1</v>
      </c>
      <c r="G1356" s="2">
        <v>1</v>
      </c>
      <c r="H1356" s="2">
        <v>1</v>
      </c>
    </row>
    <row r="1357" spans="1:8" x14ac:dyDescent="0.25">
      <c r="A1357" s="1" t="str">
        <f>"02347"</f>
        <v>02347</v>
      </c>
      <c r="B1357" s="1" t="str">
        <f>"14454"</f>
        <v>14454</v>
      </c>
      <c r="C1357" s="1" t="str">
        <f>"LAKEVILLE"</f>
        <v>LAKEVILLE</v>
      </c>
      <c r="D1357" s="1" t="str">
        <f t="shared" si="94"/>
        <v>MA</v>
      </c>
      <c r="E1357" s="2">
        <v>1</v>
      </c>
      <c r="F1357" s="2">
        <v>1</v>
      </c>
      <c r="G1357" s="2">
        <v>1</v>
      </c>
      <c r="H1357" s="2">
        <v>1</v>
      </c>
    </row>
    <row r="1358" spans="1:8" x14ac:dyDescent="0.25">
      <c r="A1358" s="1" t="str">
        <f>"02191"</f>
        <v>02191</v>
      </c>
      <c r="B1358" s="1" t="str">
        <f>"14454"</f>
        <v>14454</v>
      </c>
      <c r="C1358" s="1" t="str">
        <f>"NORTH WEYMOUTH"</f>
        <v>NORTH WEYMOUTH</v>
      </c>
      <c r="D1358" s="1" t="str">
        <f t="shared" si="94"/>
        <v>MA</v>
      </c>
      <c r="E1358" s="2">
        <v>1</v>
      </c>
      <c r="F1358" s="2">
        <v>1</v>
      </c>
      <c r="G1358" s="2">
        <v>1</v>
      </c>
      <c r="H1358" s="2">
        <v>1</v>
      </c>
    </row>
    <row r="1359" spans="1:8" x14ac:dyDescent="0.25">
      <c r="A1359" s="1" t="str">
        <f>"02452"</f>
        <v>02452</v>
      </c>
      <c r="B1359" s="1" t="str">
        <f>"15764"</f>
        <v>15764</v>
      </c>
      <c r="C1359" s="1" t="str">
        <f>"WALTHAM"</f>
        <v>WALTHAM</v>
      </c>
      <c r="D1359" s="1" t="str">
        <f t="shared" si="94"/>
        <v>MA</v>
      </c>
      <c r="E1359" s="2">
        <v>1</v>
      </c>
      <c r="F1359" s="2">
        <v>1</v>
      </c>
      <c r="G1359" s="2">
        <v>1</v>
      </c>
      <c r="H1359" s="2">
        <v>1</v>
      </c>
    </row>
    <row r="1360" spans="1:8" x14ac:dyDescent="0.25">
      <c r="A1360" s="1" t="str">
        <f>"02460"</f>
        <v>02460</v>
      </c>
      <c r="B1360" s="1" t="str">
        <f>"15764"</f>
        <v>15764</v>
      </c>
      <c r="C1360" s="1" t="str">
        <f>"NEWTONVILLE"</f>
        <v>NEWTONVILLE</v>
      </c>
      <c r="D1360" s="1" t="str">
        <f t="shared" si="94"/>
        <v>MA</v>
      </c>
      <c r="E1360" s="2">
        <v>1</v>
      </c>
      <c r="F1360" s="2">
        <v>1</v>
      </c>
      <c r="G1360" s="2">
        <v>1</v>
      </c>
      <c r="H1360" s="2">
        <v>1</v>
      </c>
    </row>
    <row r="1361" spans="1:8" x14ac:dyDescent="0.25">
      <c r="A1361" s="1" t="str">
        <f>"02762"</f>
        <v>02762</v>
      </c>
      <c r="B1361" s="1" t="str">
        <f>"14454"</f>
        <v>14454</v>
      </c>
      <c r="C1361" s="1" t="str">
        <f>"PLAINVILLE"</f>
        <v>PLAINVILLE</v>
      </c>
      <c r="D1361" s="1" t="str">
        <f t="shared" si="94"/>
        <v>MA</v>
      </c>
      <c r="E1361" s="2">
        <v>1</v>
      </c>
      <c r="F1361" s="2">
        <v>1</v>
      </c>
      <c r="G1361" s="2">
        <v>1</v>
      </c>
      <c r="H1361" s="2">
        <v>1</v>
      </c>
    </row>
    <row r="1362" spans="1:8" x14ac:dyDescent="0.25">
      <c r="A1362" s="1" t="str">
        <f>"03839"</f>
        <v>03839</v>
      </c>
      <c r="B1362" s="1" t="str">
        <f>"40484"</f>
        <v>40484</v>
      </c>
      <c r="C1362" s="1" t="str">
        <f>"ROCHESTER"</f>
        <v>ROCHESTER</v>
      </c>
      <c r="D1362" s="1" t="str">
        <f>"NH"</f>
        <v>NH</v>
      </c>
      <c r="E1362" s="2">
        <v>1</v>
      </c>
      <c r="F1362" s="2">
        <v>1</v>
      </c>
      <c r="G1362" s="2">
        <v>1</v>
      </c>
      <c r="H1362" s="2">
        <v>1</v>
      </c>
    </row>
    <row r="1363" spans="1:8" x14ac:dyDescent="0.25">
      <c r="A1363" s="1" t="str">
        <f>"07018"</f>
        <v>07018</v>
      </c>
      <c r="B1363" s="1" t="str">
        <f>"35084"</f>
        <v>35084</v>
      </c>
      <c r="C1363" s="1" t="str">
        <f>"EAST ORANGE"</f>
        <v>EAST ORANGE</v>
      </c>
      <c r="D1363" s="1" t="str">
        <f t="shared" ref="D1363:D1377" si="95">"NJ"</f>
        <v>NJ</v>
      </c>
      <c r="E1363" s="2">
        <v>1</v>
      </c>
      <c r="F1363" s="2">
        <v>1</v>
      </c>
      <c r="G1363" s="2">
        <v>1</v>
      </c>
      <c r="H1363" s="2">
        <v>1</v>
      </c>
    </row>
    <row r="1364" spans="1:8" x14ac:dyDescent="0.25">
      <c r="A1364" s="1" t="str">
        <f>"07087"</f>
        <v>07087</v>
      </c>
      <c r="B1364" s="1" t="str">
        <f>"35614"</f>
        <v>35614</v>
      </c>
      <c r="C1364" s="1" t="str">
        <f>"UNION CITY"</f>
        <v>UNION CITY</v>
      </c>
      <c r="D1364" s="1" t="str">
        <f t="shared" si="95"/>
        <v>NJ</v>
      </c>
      <c r="E1364" s="2">
        <v>1</v>
      </c>
      <c r="F1364" s="2">
        <v>1</v>
      </c>
      <c r="G1364" s="2">
        <v>1</v>
      </c>
      <c r="H1364" s="2">
        <v>1</v>
      </c>
    </row>
    <row r="1365" spans="1:8" x14ac:dyDescent="0.25">
      <c r="A1365" s="1" t="str">
        <f>"07305"</f>
        <v>07305</v>
      </c>
      <c r="B1365" s="1" t="str">
        <f>"35614"</f>
        <v>35614</v>
      </c>
      <c r="C1365" s="1" t="str">
        <f>"JERSEY CITY"</f>
        <v>JERSEY CITY</v>
      </c>
      <c r="D1365" s="1" t="str">
        <f t="shared" si="95"/>
        <v>NJ</v>
      </c>
      <c r="E1365" s="2">
        <v>1</v>
      </c>
      <c r="F1365" s="2">
        <v>1</v>
      </c>
      <c r="G1365" s="2">
        <v>1</v>
      </c>
      <c r="H1365" s="2">
        <v>1</v>
      </c>
    </row>
    <row r="1366" spans="1:8" x14ac:dyDescent="0.25">
      <c r="A1366" s="1" t="str">
        <f>"07407"</f>
        <v>07407</v>
      </c>
      <c r="B1366" s="1" t="str">
        <f>"35614"</f>
        <v>35614</v>
      </c>
      <c r="C1366" s="1" t="str">
        <f>"ELMWOOD PARK"</f>
        <v>ELMWOOD PARK</v>
      </c>
      <c r="D1366" s="1" t="str">
        <f t="shared" si="95"/>
        <v>NJ</v>
      </c>
      <c r="E1366" s="2">
        <v>1</v>
      </c>
      <c r="F1366" s="2">
        <v>1</v>
      </c>
      <c r="G1366" s="2">
        <v>1</v>
      </c>
      <c r="H1366" s="2">
        <v>1</v>
      </c>
    </row>
    <row r="1367" spans="1:8" x14ac:dyDescent="0.25">
      <c r="A1367" s="1" t="str">
        <f>"07538"</f>
        <v>07538</v>
      </c>
      <c r="B1367" s="1" t="str">
        <f>"35614"</f>
        <v>35614</v>
      </c>
      <c r="C1367" s="1" t="str">
        <f>"HALEDON"</f>
        <v>HALEDON</v>
      </c>
      <c r="D1367" s="1" t="str">
        <f t="shared" si="95"/>
        <v>NJ</v>
      </c>
      <c r="E1367" s="2">
        <v>1</v>
      </c>
      <c r="F1367" s="2">
        <v>1</v>
      </c>
      <c r="G1367" s="2">
        <v>1</v>
      </c>
      <c r="H1367" s="2">
        <v>1</v>
      </c>
    </row>
    <row r="1368" spans="1:8" x14ac:dyDescent="0.25">
      <c r="A1368" s="1" t="str">
        <f>"07630"</f>
        <v>07630</v>
      </c>
      <c r="B1368" s="1" t="str">
        <f>"35614"</f>
        <v>35614</v>
      </c>
      <c r="C1368" s="1" t="str">
        <f>"EMERSON"</f>
        <v>EMERSON</v>
      </c>
      <c r="D1368" s="1" t="str">
        <f t="shared" si="95"/>
        <v>NJ</v>
      </c>
      <c r="E1368" s="2">
        <v>1</v>
      </c>
      <c r="F1368" s="2">
        <v>1</v>
      </c>
      <c r="G1368" s="2">
        <v>1</v>
      </c>
      <c r="H1368" s="2">
        <v>1</v>
      </c>
    </row>
    <row r="1369" spans="1:8" x14ac:dyDescent="0.25">
      <c r="A1369" s="1" t="str">
        <f>"07719"</f>
        <v>07719</v>
      </c>
      <c r="B1369" s="1" t="str">
        <f>"35154"</f>
        <v>35154</v>
      </c>
      <c r="C1369" s="1" t="str">
        <f>"BELMAR"</f>
        <v>BELMAR</v>
      </c>
      <c r="D1369" s="1" t="str">
        <f t="shared" si="95"/>
        <v>NJ</v>
      </c>
      <c r="E1369" s="2">
        <v>1</v>
      </c>
      <c r="F1369" s="2">
        <v>1</v>
      </c>
      <c r="G1369" s="2">
        <v>1</v>
      </c>
      <c r="H1369" s="2">
        <v>1</v>
      </c>
    </row>
    <row r="1370" spans="1:8" x14ac:dyDescent="0.25">
      <c r="A1370" s="1" t="str">
        <f>"07738"</f>
        <v>07738</v>
      </c>
      <c r="B1370" s="1" t="str">
        <f>"35154"</f>
        <v>35154</v>
      </c>
      <c r="C1370" s="1" t="str">
        <f>"LINCROFT"</f>
        <v>LINCROFT</v>
      </c>
      <c r="D1370" s="1" t="str">
        <f t="shared" si="95"/>
        <v>NJ</v>
      </c>
      <c r="E1370" s="2">
        <v>1</v>
      </c>
      <c r="F1370" s="2">
        <v>1</v>
      </c>
      <c r="G1370" s="2">
        <v>1</v>
      </c>
      <c r="H1370" s="2">
        <v>1</v>
      </c>
    </row>
    <row r="1371" spans="1:8" x14ac:dyDescent="0.25">
      <c r="A1371" s="1" t="str">
        <f>"07732"</f>
        <v>07732</v>
      </c>
      <c r="B1371" s="1" t="str">
        <f>"35154"</f>
        <v>35154</v>
      </c>
      <c r="C1371" s="1" t="str">
        <f>"HIGHLANDS"</f>
        <v>HIGHLANDS</v>
      </c>
      <c r="D1371" s="1" t="str">
        <f t="shared" si="95"/>
        <v>NJ</v>
      </c>
      <c r="E1371" s="2">
        <v>1</v>
      </c>
      <c r="F1371" s="2">
        <v>1</v>
      </c>
      <c r="G1371" s="2">
        <v>1</v>
      </c>
      <c r="H1371" s="2">
        <v>1</v>
      </c>
    </row>
    <row r="1372" spans="1:8" x14ac:dyDescent="0.25">
      <c r="A1372" s="1" t="str">
        <f>"07876"</f>
        <v>07876</v>
      </c>
      <c r="B1372" s="1" t="str">
        <f>"35084"</f>
        <v>35084</v>
      </c>
      <c r="C1372" s="1" t="str">
        <f>"SUCCASUNNA"</f>
        <v>SUCCASUNNA</v>
      </c>
      <c r="D1372" s="1" t="str">
        <f t="shared" si="95"/>
        <v>NJ</v>
      </c>
      <c r="E1372" s="2">
        <v>1</v>
      </c>
      <c r="F1372" s="2">
        <v>1</v>
      </c>
      <c r="G1372" s="2">
        <v>1</v>
      </c>
      <c r="H1372" s="2">
        <v>1</v>
      </c>
    </row>
    <row r="1373" spans="1:8" x14ac:dyDescent="0.25">
      <c r="A1373" s="1" t="str">
        <f>"08015"</f>
        <v>08015</v>
      </c>
      <c r="B1373" s="1" t="str">
        <f>"15804"</f>
        <v>15804</v>
      </c>
      <c r="C1373" s="1" t="str">
        <f>"BROWNS MILLS"</f>
        <v>BROWNS MILLS</v>
      </c>
      <c r="D1373" s="1" t="str">
        <f t="shared" si="95"/>
        <v>NJ</v>
      </c>
      <c r="E1373" s="2">
        <v>1</v>
      </c>
      <c r="F1373" s="2">
        <v>1</v>
      </c>
      <c r="G1373" s="2">
        <v>1</v>
      </c>
      <c r="H1373" s="2">
        <v>1</v>
      </c>
    </row>
    <row r="1374" spans="1:8" x14ac:dyDescent="0.25">
      <c r="A1374" s="1" t="str">
        <f>"08080"</f>
        <v>08080</v>
      </c>
      <c r="B1374" s="1" t="str">
        <f>"15804"</f>
        <v>15804</v>
      </c>
      <c r="C1374" s="1" t="str">
        <f>"SEWELL"</f>
        <v>SEWELL</v>
      </c>
      <c r="D1374" s="1" t="str">
        <f t="shared" si="95"/>
        <v>NJ</v>
      </c>
      <c r="E1374" s="2">
        <v>1</v>
      </c>
      <c r="F1374" s="2">
        <v>1</v>
      </c>
      <c r="G1374" s="2">
        <v>1</v>
      </c>
      <c r="H1374" s="2">
        <v>1</v>
      </c>
    </row>
    <row r="1375" spans="1:8" x14ac:dyDescent="0.25">
      <c r="A1375" s="1" t="str">
        <f>"08098"</f>
        <v>08098</v>
      </c>
      <c r="B1375" s="1" t="str">
        <f>"15804"</f>
        <v>15804</v>
      </c>
      <c r="C1375" s="1" t="str">
        <f>"WOODSTOWN"</f>
        <v>WOODSTOWN</v>
      </c>
      <c r="D1375" s="1" t="str">
        <f t="shared" si="95"/>
        <v>NJ</v>
      </c>
      <c r="E1375" s="2">
        <v>1.9940179461615101E-3</v>
      </c>
      <c r="F1375" s="2">
        <v>0</v>
      </c>
      <c r="G1375" s="2">
        <v>0</v>
      </c>
      <c r="H1375" s="2">
        <v>1.8403496664366201E-3</v>
      </c>
    </row>
    <row r="1376" spans="1:8" x14ac:dyDescent="0.25">
      <c r="A1376" s="1" t="str">
        <f>"08098"</f>
        <v>08098</v>
      </c>
      <c r="B1376" s="1" t="str">
        <f>"48864"</f>
        <v>48864</v>
      </c>
      <c r="C1376" s="1" t="str">
        <f>"WOODSTOWN"</f>
        <v>WOODSTOWN</v>
      </c>
      <c r="D1376" s="1" t="str">
        <f t="shared" si="95"/>
        <v>NJ</v>
      </c>
      <c r="E1376" s="2">
        <v>0.99800598205383795</v>
      </c>
      <c r="F1376" s="2">
        <v>1</v>
      </c>
      <c r="G1376" s="2">
        <v>1</v>
      </c>
      <c r="H1376" s="2">
        <v>0.99815965033356302</v>
      </c>
    </row>
    <row r="1377" spans="1:8" x14ac:dyDescent="0.25">
      <c r="A1377" s="1" t="str">
        <f>"08640"</f>
        <v>08640</v>
      </c>
      <c r="B1377" s="1" t="str">
        <f>"15804"</f>
        <v>15804</v>
      </c>
      <c r="C1377" s="1" t="str">
        <f>"JOINT BASE MDL"</f>
        <v>JOINT BASE MDL</v>
      </c>
      <c r="D1377" s="1" t="str">
        <f t="shared" si="95"/>
        <v>NJ</v>
      </c>
      <c r="E1377" s="2">
        <v>1</v>
      </c>
      <c r="F1377" s="2">
        <v>1</v>
      </c>
      <c r="G1377" s="2">
        <v>1</v>
      </c>
      <c r="H1377" s="2">
        <v>1</v>
      </c>
    </row>
    <row r="1378" spans="1:8" x14ac:dyDescent="0.25">
      <c r="A1378" s="1" t="str">
        <f>"10460"</f>
        <v>10460</v>
      </c>
      <c r="B1378" s="1" t="str">
        <f>"35614"</f>
        <v>35614</v>
      </c>
      <c r="C1378" s="1" t="str">
        <f>"BRONX"</f>
        <v>BRONX</v>
      </c>
      <c r="D1378" s="1" t="str">
        <f t="shared" ref="D1378:D1390" si="96">"NY"</f>
        <v>NY</v>
      </c>
      <c r="E1378" s="2">
        <v>1</v>
      </c>
      <c r="F1378" s="2">
        <v>1</v>
      </c>
      <c r="G1378" s="2">
        <v>1</v>
      </c>
      <c r="H1378" s="2">
        <v>1</v>
      </c>
    </row>
    <row r="1379" spans="1:8" x14ac:dyDescent="0.25">
      <c r="A1379" s="1" t="str">
        <f>"10468"</f>
        <v>10468</v>
      </c>
      <c r="B1379" s="1" t="str">
        <f>"35614"</f>
        <v>35614</v>
      </c>
      <c r="C1379" s="1" t="str">
        <f>"BRONX"</f>
        <v>BRONX</v>
      </c>
      <c r="D1379" s="1" t="str">
        <f t="shared" si="96"/>
        <v>NY</v>
      </c>
      <c r="E1379" s="2">
        <v>1</v>
      </c>
      <c r="F1379" s="2">
        <v>1</v>
      </c>
      <c r="G1379" s="2">
        <v>1</v>
      </c>
      <c r="H1379" s="2">
        <v>1</v>
      </c>
    </row>
    <row r="1380" spans="1:8" x14ac:dyDescent="0.25">
      <c r="A1380" s="1" t="str">
        <f>"10474"</f>
        <v>10474</v>
      </c>
      <c r="B1380" s="1" t="str">
        <f>"35614"</f>
        <v>35614</v>
      </c>
      <c r="C1380" s="1" t="str">
        <f>"BRONX"</f>
        <v>BRONX</v>
      </c>
      <c r="D1380" s="1" t="str">
        <f t="shared" si="96"/>
        <v>NY</v>
      </c>
      <c r="E1380" s="2">
        <v>1</v>
      </c>
      <c r="F1380" s="2">
        <v>1</v>
      </c>
      <c r="G1380" s="2">
        <v>1</v>
      </c>
      <c r="H1380" s="2">
        <v>1</v>
      </c>
    </row>
    <row r="1381" spans="1:8" x14ac:dyDescent="0.25">
      <c r="A1381" s="1" t="str">
        <f>"11428"</f>
        <v>11428</v>
      </c>
      <c r="B1381" s="1" t="str">
        <f>"35614"</f>
        <v>35614</v>
      </c>
      <c r="C1381" s="1" t="str">
        <f>"QUEENS VILLAGE"</f>
        <v>QUEENS VILLAGE</v>
      </c>
      <c r="D1381" s="1" t="str">
        <f t="shared" si="96"/>
        <v>NY</v>
      </c>
      <c r="E1381" s="2">
        <v>1</v>
      </c>
      <c r="F1381" s="2">
        <v>1</v>
      </c>
      <c r="G1381" s="2">
        <v>1</v>
      </c>
      <c r="H1381" s="2">
        <v>1</v>
      </c>
    </row>
    <row r="1382" spans="1:8" x14ac:dyDescent="0.25">
      <c r="A1382" s="1" t="str">
        <f>"11507"</f>
        <v>11507</v>
      </c>
      <c r="B1382" s="1" t="str">
        <f>"35004"</f>
        <v>35004</v>
      </c>
      <c r="C1382" s="1" t="str">
        <f>"ALBERTSON"</f>
        <v>ALBERTSON</v>
      </c>
      <c r="D1382" s="1" t="str">
        <f t="shared" si="96"/>
        <v>NY</v>
      </c>
      <c r="E1382" s="2">
        <v>1</v>
      </c>
      <c r="F1382" s="2">
        <v>1</v>
      </c>
      <c r="G1382" s="2">
        <v>1</v>
      </c>
      <c r="H1382" s="2">
        <v>1</v>
      </c>
    </row>
    <row r="1383" spans="1:8" x14ac:dyDescent="0.25">
      <c r="A1383" s="1" t="str">
        <f>"11703"</f>
        <v>11703</v>
      </c>
      <c r="B1383" s="1" t="str">
        <f>"35004"</f>
        <v>35004</v>
      </c>
      <c r="C1383" s="1" t="str">
        <f>"NORTH BABYLON"</f>
        <v>NORTH BABYLON</v>
      </c>
      <c r="D1383" s="1" t="str">
        <f t="shared" si="96"/>
        <v>NY</v>
      </c>
      <c r="E1383" s="2">
        <v>1</v>
      </c>
      <c r="F1383" s="2">
        <v>1</v>
      </c>
      <c r="G1383" s="2">
        <v>1</v>
      </c>
      <c r="H1383" s="2">
        <v>1</v>
      </c>
    </row>
    <row r="1384" spans="1:8" x14ac:dyDescent="0.25">
      <c r="A1384" s="1" t="str">
        <f>"11692"</f>
        <v>11692</v>
      </c>
      <c r="B1384" s="1" t="str">
        <f>"35614"</f>
        <v>35614</v>
      </c>
      <c r="C1384" s="1" t="str">
        <f>"ARVERNE"</f>
        <v>ARVERNE</v>
      </c>
      <c r="D1384" s="1" t="str">
        <f t="shared" si="96"/>
        <v>NY</v>
      </c>
      <c r="E1384" s="2">
        <v>1</v>
      </c>
      <c r="F1384" s="2">
        <v>1</v>
      </c>
      <c r="G1384" s="2">
        <v>1</v>
      </c>
      <c r="H1384" s="2">
        <v>1</v>
      </c>
    </row>
    <row r="1385" spans="1:8" x14ac:dyDescent="0.25">
      <c r="A1385" s="1" t="str">
        <f>"11722"</f>
        <v>11722</v>
      </c>
      <c r="B1385" s="1" t="str">
        <f>"35004"</f>
        <v>35004</v>
      </c>
      <c r="C1385" s="1" t="str">
        <f>"CENTRAL ISLIP"</f>
        <v>CENTRAL ISLIP</v>
      </c>
      <c r="D1385" s="1" t="str">
        <f t="shared" si="96"/>
        <v>NY</v>
      </c>
      <c r="E1385" s="2">
        <v>1</v>
      </c>
      <c r="F1385" s="2">
        <v>1</v>
      </c>
      <c r="G1385" s="2">
        <v>1</v>
      </c>
      <c r="H1385" s="2">
        <v>1</v>
      </c>
    </row>
    <row r="1386" spans="1:8" x14ac:dyDescent="0.25">
      <c r="A1386" s="1" t="str">
        <f>"11773"</f>
        <v>11773</v>
      </c>
      <c r="B1386" s="1" t="str">
        <f>"35004"</f>
        <v>35004</v>
      </c>
      <c r="C1386" s="1" t="str">
        <f>"MELVILLE"</f>
        <v>MELVILLE</v>
      </c>
      <c r="D1386" s="1" t="str">
        <f t="shared" si="96"/>
        <v>NY</v>
      </c>
      <c r="E1386" s="2">
        <v>0</v>
      </c>
      <c r="F1386" s="2">
        <v>0</v>
      </c>
      <c r="G1386" s="2">
        <v>1</v>
      </c>
      <c r="H1386" s="2">
        <v>1</v>
      </c>
    </row>
    <row r="1387" spans="1:8" x14ac:dyDescent="0.25">
      <c r="A1387" s="1" t="str">
        <f>"10509"</f>
        <v>10509</v>
      </c>
      <c r="B1387" s="1" t="str">
        <f>"35614"</f>
        <v>35614</v>
      </c>
      <c r="C1387" s="1" t="str">
        <f>"BREWSTER"</f>
        <v>BREWSTER</v>
      </c>
      <c r="D1387" s="1" t="str">
        <f t="shared" si="96"/>
        <v>NY</v>
      </c>
      <c r="E1387" s="2">
        <v>1</v>
      </c>
      <c r="F1387" s="2">
        <v>1</v>
      </c>
      <c r="G1387" s="2">
        <v>1</v>
      </c>
      <c r="H1387" s="2">
        <v>1</v>
      </c>
    </row>
    <row r="1388" spans="1:8" x14ac:dyDescent="0.25">
      <c r="A1388" s="1" t="str">
        <f>"10507"</f>
        <v>10507</v>
      </c>
      <c r="B1388" s="1" t="str">
        <f>"35614"</f>
        <v>35614</v>
      </c>
      <c r="C1388" s="1" t="str">
        <f>"BEDFORD HILLS"</f>
        <v>BEDFORD HILLS</v>
      </c>
      <c r="D1388" s="1" t="str">
        <f t="shared" si="96"/>
        <v>NY</v>
      </c>
      <c r="E1388" s="2">
        <v>1</v>
      </c>
      <c r="F1388" s="2">
        <v>1</v>
      </c>
      <c r="G1388" s="2">
        <v>1</v>
      </c>
      <c r="H1388" s="2">
        <v>1</v>
      </c>
    </row>
    <row r="1389" spans="1:8" x14ac:dyDescent="0.25">
      <c r="A1389" s="1" t="str">
        <f>"10576"</f>
        <v>10576</v>
      </c>
      <c r="B1389" s="1" t="str">
        <f>"35614"</f>
        <v>35614</v>
      </c>
      <c r="C1389" s="1" t="str">
        <f>"POUND RIDGE"</f>
        <v>POUND RIDGE</v>
      </c>
      <c r="D1389" s="1" t="str">
        <f t="shared" si="96"/>
        <v>NY</v>
      </c>
      <c r="E1389" s="2">
        <v>1</v>
      </c>
      <c r="F1389" s="2">
        <v>1</v>
      </c>
      <c r="G1389" s="2">
        <v>1</v>
      </c>
      <c r="H1389" s="2">
        <v>1</v>
      </c>
    </row>
    <row r="1390" spans="1:8" x14ac:dyDescent="0.25">
      <c r="A1390" s="1" t="str">
        <f>"10706"</f>
        <v>10706</v>
      </c>
      <c r="B1390" s="1" t="str">
        <f>"35614"</f>
        <v>35614</v>
      </c>
      <c r="C1390" s="1" t="str">
        <f>"HASTINGS ON HUDSON"</f>
        <v>HASTINGS ON HUDSON</v>
      </c>
      <c r="D1390" s="1" t="str">
        <f t="shared" si="96"/>
        <v>NY</v>
      </c>
      <c r="E1390" s="2">
        <v>1</v>
      </c>
      <c r="F1390" s="2">
        <v>1</v>
      </c>
      <c r="G1390" s="2">
        <v>1</v>
      </c>
      <c r="H1390" s="2">
        <v>1</v>
      </c>
    </row>
    <row r="1391" spans="1:8" x14ac:dyDescent="0.25">
      <c r="A1391" s="1" t="str">
        <f>"19008"</f>
        <v>19008</v>
      </c>
      <c r="B1391" s="1" t="str">
        <f>"37964"</f>
        <v>37964</v>
      </c>
      <c r="C1391" s="1" t="str">
        <f>"BROOMALL"</f>
        <v>BROOMALL</v>
      </c>
      <c r="D1391" s="1" t="str">
        <f t="shared" ref="D1391:D1396" si="97">"PA"</f>
        <v>PA</v>
      </c>
      <c r="E1391" s="2">
        <v>1</v>
      </c>
      <c r="F1391" s="2">
        <v>1</v>
      </c>
      <c r="G1391" s="2">
        <v>1</v>
      </c>
      <c r="H1391" s="2">
        <v>1</v>
      </c>
    </row>
    <row r="1392" spans="1:8" x14ac:dyDescent="0.25">
      <c r="A1392" s="1" t="str">
        <f>"19047"</f>
        <v>19047</v>
      </c>
      <c r="B1392" s="1" t="str">
        <f>"33874"</f>
        <v>33874</v>
      </c>
      <c r="C1392" s="1" t="str">
        <f>"LANGHORNE"</f>
        <v>LANGHORNE</v>
      </c>
      <c r="D1392" s="1" t="str">
        <f t="shared" si="97"/>
        <v>PA</v>
      </c>
      <c r="E1392" s="2">
        <v>1</v>
      </c>
      <c r="F1392" s="2">
        <v>1</v>
      </c>
      <c r="G1392" s="2">
        <v>1</v>
      </c>
      <c r="H1392" s="2">
        <v>1</v>
      </c>
    </row>
    <row r="1393" spans="1:8" x14ac:dyDescent="0.25">
      <c r="A1393" s="1" t="str">
        <f>"19142"</f>
        <v>19142</v>
      </c>
      <c r="B1393" s="1" t="str">
        <f>"37964"</f>
        <v>37964</v>
      </c>
      <c r="C1393" s="1" t="str">
        <f>"PHILADELPHIA"</f>
        <v>PHILADELPHIA</v>
      </c>
      <c r="D1393" s="1" t="str">
        <f t="shared" si="97"/>
        <v>PA</v>
      </c>
      <c r="E1393" s="2">
        <v>1</v>
      </c>
      <c r="F1393" s="2">
        <v>1</v>
      </c>
      <c r="G1393" s="2">
        <v>1</v>
      </c>
      <c r="H1393" s="2">
        <v>1</v>
      </c>
    </row>
    <row r="1394" spans="1:8" x14ac:dyDescent="0.25">
      <c r="A1394" s="1" t="str">
        <f>"19135"</f>
        <v>19135</v>
      </c>
      <c r="B1394" s="1" t="str">
        <f>"37964"</f>
        <v>37964</v>
      </c>
      <c r="C1394" s="1" t="str">
        <f>"PHILADELPHIA"</f>
        <v>PHILADELPHIA</v>
      </c>
      <c r="D1394" s="1" t="str">
        <f t="shared" si="97"/>
        <v>PA</v>
      </c>
      <c r="E1394" s="2">
        <v>1</v>
      </c>
      <c r="F1394" s="2">
        <v>1</v>
      </c>
      <c r="G1394" s="2">
        <v>1</v>
      </c>
      <c r="H1394" s="2">
        <v>1</v>
      </c>
    </row>
    <row r="1395" spans="1:8" x14ac:dyDescent="0.25">
      <c r="A1395" s="1" t="str">
        <f>"19372"</f>
        <v>19372</v>
      </c>
      <c r="B1395" s="1" t="str">
        <f>"33874"</f>
        <v>33874</v>
      </c>
      <c r="C1395" s="1" t="str">
        <f>"THORNDALE"</f>
        <v>THORNDALE</v>
      </c>
      <c r="D1395" s="1" t="str">
        <f t="shared" si="97"/>
        <v>PA</v>
      </c>
      <c r="E1395" s="2">
        <v>1</v>
      </c>
      <c r="F1395" s="2">
        <v>1</v>
      </c>
      <c r="G1395" s="2">
        <v>1</v>
      </c>
      <c r="H1395" s="2">
        <v>1</v>
      </c>
    </row>
    <row r="1396" spans="1:8" x14ac:dyDescent="0.25">
      <c r="A1396" s="1" t="str">
        <f>"19381"</f>
        <v>19381</v>
      </c>
      <c r="B1396" s="1" t="str">
        <f>"33874"</f>
        <v>33874</v>
      </c>
      <c r="C1396" s="1" t="str">
        <f>"WEST CHESTER"</f>
        <v>WEST CHESTER</v>
      </c>
      <c r="D1396" s="1" t="str">
        <f t="shared" si="97"/>
        <v>PA</v>
      </c>
      <c r="E1396" s="2">
        <v>1</v>
      </c>
      <c r="F1396" s="2">
        <v>1</v>
      </c>
      <c r="G1396" s="2">
        <v>1</v>
      </c>
      <c r="H1396" s="2">
        <v>1</v>
      </c>
    </row>
    <row r="1397" spans="1:8" x14ac:dyDescent="0.25">
      <c r="A1397" s="1" t="str">
        <f>"19810"</f>
        <v>19810</v>
      </c>
      <c r="B1397" s="1" t="str">
        <f>"48864"</f>
        <v>48864</v>
      </c>
      <c r="C1397" s="1" t="str">
        <f>"WILMINGTON"</f>
        <v>WILMINGTON</v>
      </c>
      <c r="D1397" s="1" t="str">
        <f>"DE"</f>
        <v>DE</v>
      </c>
      <c r="E1397" s="2">
        <v>1</v>
      </c>
      <c r="F1397" s="2">
        <v>1</v>
      </c>
      <c r="G1397" s="2">
        <v>1</v>
      </c>
      <c r="H1397" s="2">
        <v>1</v>
      </c>
    </row>
    <row r="1398" spans="1:8" x14ac:dyDescent="0.25">
      <c r="A1398" s="1" t="str">
        <f>"20866"</f>
        <v>20866</v>
      </c>
      <c r="B1398" s="1" t="str">
        <f>"23224"</f>
        <v>23224</v>
      </c>
      <c r="C1398" s="1" t="str">
        <f>"BURTONSVILLE"</f>
        <v>BURTONSVILLE</v>
      </c>
      <c r="D1398" s="1" t="str">
        <f>"MD"</f>
        <v>MD</v>
      </c>
      <c r="E1398" s="2">
        <v>1</v>
      </c>
      <c r="F1398" s="2">
        <v>1</v>
      </c>
      <c r="G1398" s="2">
        <v>1</v>
      </c>
      <c r="H1398" s="2">
        <v>1</v>
      </c>
    </row>
    <row r="1399" spans="1:8" x14ac:dyDescent="0.25">
      <c r="A1399" s="1" t="str">
        <f>"21758"</f>
        <v>21758</v>
      </c>
      <c r="B1399" s="1" t="str">
        <f>"23224"</f>
        <v>23224</v>
      </c>
      <c r="C1399" s="1" t="str">
        <f>"KNOXVILLE"</f>
        <v>KNOXVILLE</v>
      </c>
      <c r="D1399" s="1" t="str">
        <f>"MD"</f>
        <v>MD</v>
      </c>
      <c r="E1399" s="2">
        <v>1</v>
      </c>
      <c r="F1399" s="2">
        <v>1</v>
      </c>
      <c r="G1399" s="2">
        <v>1</v>
      </c>
      <c r="H1399" s="2">
        <v>1</v>
      </c>
    </row>
    <row r="1400" spans="1:8" x14ac:dyDescent="0.25">
      <c r="A1400" s="1" t="str">
        <f>"20158"</f>
        <v>20158</v>
      </c>
      <c r="B1400" s="1" t="str">
        <f>"47894"</f>
        <v>47894</v>
      </c>
      <c r="C1400" s="1" t="str">
        <f>"HAMILTON"</f>
        <v>HAMILTON</v>
      </c>
      <c r="D1400" s="1" t="str">
        <f>"VA"</f>
        <v>VA</v>
      </c>
      <c r="E1400" s="2">
        <v>1</v>
      </c>
      <c r="F1400" s="2">
        <v>1</v>
      </c>
      <c r="G1400" s="2">
        <v>1</v>
      </c>
      <c r="H1400" s="2">
        <v>1</v>
      </c>
    </row>
    <row r="1401" spans="1:8" x14ac:dyDescent="0.25">
      <c r="A1401" s="1" t="str">
        <f>"22172"</f>
        <v>22172</v>
      </c>
      <c r="B1401" s="1" t="str">
        <f>"47894"</f>
        <v>47894</v>
      </c>
      <c r="C1401" s="1" t="str">
        <f>"TRIANGLE"</f>
        <v>TRIANGLE</v>
      </c>
      <c r="D1401" s="1" t="str">
        <f>"VA"</f>
        <v>VA</v>
      </c>
      <c r="E1401" s="2">
        <v>1</v>
      </c>
      <c r="F1401" s="2">
        <v>1</v>
      </c>
      <c r="G1401" s="2">
        <v>1</v>
      </c>
      <c r="H1401" s="2">
        <v>1</v>
      </c>
    </row>
    <row r="1402" spans="1:8" x14ac:dyDescent="0.25">
      <c r="A1402" s="1" t="str">
        <f>"33056"</f>
        <v>33056</v>
      </c>
      <c r="B1402" s="1" t="str">
        <f>"33124"</f>
        <v>33124</v>
      </c>
      <c r="C1402" s="1" t="str">
        <f>"MIAMI GARDENS"</f>
        <v>MIAMI GARDENS</v>
      </c>
      <c r="D1402" s="1" t="str">
        <f t="shared" ref="D1402:D1413" si="98">"FL"</f>
        <v>FL</v>
      </c>
      <c r="E1402" s="2">
        <v>1</v>
      </c>
      <c r="F1402" s="2">
        <v>0.99848024316109396</v>
      </c>
      <c r="G1402" s="2">
        <v>0.99675324675324595</v>
      </c>
      <c r="H1402" s="2">
        <v>0.99985057900634999</v>
      </c>
    </row>
    <row r="1403" spans="1:8" x14ac:dyDescent="0.25">
      <c r="A1403" s="1" t="str">
        <f>"33056"</f>
        <v>33056</v>
      </c>
      <c r="B1403" s="1" t="str">
        <f>"22744"</f>
        <v>22744</v>
      </c>
      <c r="C1403" s="1" t="str">
        <f>"MIAMI GARDENS"</f>
        <v>MIAMI GARDENS</v>
      </c>
      <c r="D1403" s="1" t="str">
        <f t="shared" si="98"/>
        <v>FL</v>
      </c>
      <c r="E1403" s="2">
        <v>0</v>
      </c>
      <c r="F1403" s="2">
        <v>1.5197568389057701E-3</v>
      </c>
      <c r="G1403" s="2">
        <v>3.24675324675324E-3</v>
      </c>
      <c r="H1403" s="2">
        <v>1.49420993649607E-4</v>
      </c>
    </row>
    <row r="1404" spans="1:8" x14ac:dyDescent="0.25">
      <c r="A1404" s="1" t="str">
        <f>"33033"</f>
        <v>33033</v>
      </c>
      <c r="B1404" s="1" t="str">
        <f>"33124"</f>
        <v>33124</v>
      </c>
      <c r="C1404" s="1" t="str">
        <f>"HOMESTEAD"</f>
        <v>HOMESTEAD</v>
      </c>
      <c r="D1404" s="1" t="str">
        <f t="shared" si="98"/>
        <v>FL</v>
      </c>
      <c r="E1404" s="2">
        <v>1</v>
      </c>
      <c r="F1404" s="2">
        <v>1</v>
      </c>
      <c r="G1404" s="2">
        <v>1</v>
      </c>
      <c r="H1404" s="2">
        <v>1</v>
      </c>
    </row>
    <row r="1405" spans="1:8" x14ac:dyDescent="0.25">
      <c r="A1405" s="1" t="str">
        <f>"33138"</f>
        <v>33138</v>
      </c>
      <c r="B1405" s="1" t="str">
        <f>"33124"</f>
        <v>33124</v>
      </c>
      <c r="C1405" s="1" t="str">
        <f>"MIAMI"</f>
        <v>MIAMI</v>
      </c>
      <c r="D1405" s="1" t="str">
        <f t="shared" si="98"/>
        <v>FL</v>
      </c>
      <c r="E1405" s="2">
        <v>1</v>
      </c>
      <c r="F1405" s="2">
        <v>1</v>
      </c>
      <c r="G1405" s="2">
        <v>1</v>
      </c>
      <c r="H1405" s="2">
        <v>1</v>
      </c>
    </row>
    <row r="1406" spans="1:8" x14ac:dyDescent="0.25">
      <c r="A1406" s="1" t="str">
        <f>"33429"</f>
        <v>33429</v>
      </c>
      <c r="B1406" s="1" t="str">
        <f>"48424"</f>
        <v>48424</v>
      </c>
      <c r="C1406" s="1" t="str">
        <f>"BOCA RATON"</f>
        <v>BOCA RATON</v>
      </c>
      <c r="D1406" s="1" t="str">
        <f t="shared" si="98"/>
        <v>FL</v>
      </c>
      <c r="E1406" s="2">
        <v>1</v>
      </c>
      <c r="F1406" s="2">
        <v>1</v>
      </c>
      <c r="G1406" s="2">
        <v>1</v>
      </c>
      <c r="H1406" s="2">
        <v>1</v>
      </c>
    </row>
    <row r="1407" spans="1:8" x14ac:dyDescent="0.25">
      <c r="A1407" s="1" t="str">
        <f>"33430"</f>
        <v>33430</v>
      </c>
      <c r="B1407" s="1" t="str">
        <f>"48424"</f>
        <v>48424</v>
      </c>
      <c r="C1407" s="1" t="str">
        <f>"BELLE GLADE"</f>
        <v>BELLE GLADE</v>
      </c>
      <c r="D1407" s="1" t="str">
        <f t="shared" si="98"/>
        <v>FL</v>
      </c>
      <c r="E1407" s="2">
        <v>1</v>
      </c>
      <c r="F1407" s="2">
        <v>1</v>
      </c>
      <c r="G1407" s="2">
        <v>1</v>
      </c>
      <c r="H1407" s="2">
        <v>1</v>
      </c>
    </row>
    <row r="1408" spans="1:8" x14ac:dyDescent="0.25">
      <c r="A1408" s="1" t="str">
        <f>"33414"</f>
        <v>33414</v>
      </c>
      <c r="B1408" s="1" t="str">
        <f>"48424"</f>
        <v>48424</v>
      </c>
      <c r="C1408" s="1" t="str">
        <f>"WELLINGTON"</f>
        <v>WELLINGTON</v>
      </c>
      <c r="D1408" s="1" t="str">
        <f t="shared" si="98"/>
        <v>FL</v>
      </c>
      <c r="E1408" s="2">
        <v>1</v>
      </c>
      <c r="F1408" s="2">
        <v>1</v>
      </c>
      <c r="G1408" s="2">
        <v>1</v>
      </c>
      <c r="H1408" s="2">
        <v>1</v>
      </c>
    </row>
    <row r="1409" spans="1:8" x14ac:dyDescent="0.25">
      <c r="A1409" s="1" t="str">
        <f>"33408"</f>
        <v>33408</v>
      </c>
      <c r="B1409" s="1" t="str">
        <f>"48424"</f>
        <v>48424</v>
      </c>
      <c r="C1409" s="1" t="str">
        <f>"NORTH PALM BEACH"</f>
        <v>NORTH PALM BEACH</v>
      </c>
      <c r="D1409" s="1" t="str">
        <f t="shared" si="98"/>
        <v>FL</v>
      </c>
      <c r="E1409" s="2">
        <v>1</v>
      </c>
      <c r="F1409" s="2">
        <v>1</v>
      </c>
      <c r="G1409" s="2">
        <v>1</v>
      </c>
      <c r="H1409" s="2">
        <v>1</v>
      </c>
    </row>
    <row r="1410" spans="1:8" x14ac:dyDescent="0.25">
      <c r="A1410" s="1" t="str">
        <f>"33177"</f>
        <v>33177</v>
      </c>
      <c r="B1410" s="1" t="str">
        <f>"33124"</f>
        <v>33124</v>
      </c>
      <c r="C1410" s="1" t="str">
        <f>"MIAMI"</f>
        <v>MIAMI</v>
      </c>
      <c r="D1410" s="1" t="str">
        <f t="shared" si="98"/>
        <v>FL</v>
      </c>
      <c r="E1410" s="2">
        <v>1</v>
      </c>
      <c r="F1410" s="2">
        <v>1</v>
      </c>
      <c r="G1410" s="2">
        <v>1</v>
      </c>
      <c r="H1410" s="2">
        <v>1</v>
      </c>
    </row>
    <row r="1411" spans="1:8" x14ac:dyDescent="0.25">
      <c r="A1411" s="1" t="str">
        <f>"33190"</f>
        <v>33190</v>
      </c>
      <c r="B1411" s="1" t="str">
        <f>"33124"</f>
        <v>33124</v>
      </c>
      <c r="C1411" s="1" t="str">
        <f>"MIAMI"</f>
        <v>MIAMI</v>
      </c>
      <c r="D1411" s="1" t="str">
        <f t="shared" si="98"/>
        <v>FL</v>
      </c>
      <c r="E1411" s="2">
        <v>1</v>
      </c>
      <c r="F1411" s="2">
        <v>1</v>
      </c>
      <c r="G1411" s="2">
        <v>1</v>
      </c>
      <c r="H1411" s="2">
        <v>1</v>
      </c>
    </row>
    <row r="1412" spans="1:8" x14ac:dyDescent="0.25">
      <c r="A1412" s="1" t="str">
        <f>"33149"</f>
        <v>33149</v>
      </c>
      <c r="B1412" s="1" t="str">
        <f>"33124"</f>
        <v>33124</v>
      </c>
      <c r="C1412" s="1" t="str">
        <f>"KEY BISCAYNE"</f>
        <v>KEY BISCAYNE</v>
      </c>
      <c r="D1412" s="1" t="str">
        <f t="shared" si="98"/>
        <v>FL</v>
      </c>
      <c r="E1412" s="2">
        <v>1</v>
      </c>
      <c r="F1412" s="2">
        <v>1</v>
      </c>
      <c r="G1412" s="2">
        <v>1</v>
      </c>
      <c r="H1412" s="2">
        <v>1</v>
      </c>
    </row>
    <row r="1413" spans="1:8" x14ac:dyDescent="0.25">
      <c r="A1413" s="1" t="str">
        <f>"33247"</f>
        <v>33247</v>
      </c>
      <c r="B1413" s="1" t="str">
        <f>"33124"</f>
        <v>33124</v>
      </c>
      <c r="C1413" s="1" t="str">
        <f>"MIAMI"</f>
        <v>MIAMI</v>
      </c>
      <c r="D1413" s="1" t="str">
        <f t="shared" si="98"/>
        <v>FL</v>
      </c>
      <c r="E1413" s="2">
        <v>1</v>
      </c>
      <c r="F1413" s="2">
        <v>1</v>
      </c>
      <c r="G1413" s="2">
        <v>1</v>
      </c>
      <c r="H1413" s="2">
        <v>1</v>
      </c>
    </row>
    <row r="1414" spans="1:8" x14ac:dyDescent="0.25">
      <c r="A1414" s="1" t="str">
        <f>"48054"</f>
        <v>48054</v>
      </c>
      <c r="B1414" s="1" t="str">
        <f>"47664"</f>
        <v>47664</v>
      </c>
      <c r="C1414" s="1" t="str">
        <f>"EAST CHINA"</f>
        <v>EAST CHINA</v>
      </c>
      <c r="D1414" s="1" t="str">
        <f t="shared" ref="D1414:D1420" si="99">"MI"</f>
        <v>MI</v>
      </c>
      <c r="E1414" s="2">
        <v>1</v>
      </c>
      <c r="F1414" s="2">
        <v>1</v>
      </c>
      <c r="G1414" s="2">
        <v>1</v>
      </c>
      <c r="H1414" s="2">
        <v>1</v>
      </c>
    </row>
    <row r="1415" spans="1:8" x14ac:dyDescent="0.25">
      <c r="A1415" s="1" t="str">
        <f>"48073"</f>
        <v>48073</v>
      </c>
      <c r="B1415" s="1" t="str">
        <f>"47664"</f>
        <v>47664</v>
      </c>
      <c r="C1415" s="1" t="str">
        <f>"ROYAL OAK"</f>
        <v>ROYAL OAK</v>
      </c>
      <c r="D1415" s="1" t="str">
        <f t="shared" si="99"/>
        <v>MI</v>
      </c>
      <c r="E1415" s="2">
        <v>1</v>
      </c>
      <c r="F1415" s="2">
        <v>1</v>
      </c>
      <c r="G1415" s="2">
        <v>1</v>
      </c>
      <c r="H1415" s="2">
        <v>1</v>
      </c>
    </row>
    <row r="1416" spans="1:8" x14ac:dyDescent="0.25">
      <c r="A1416" s="1" t="str">
        <f>"48093"</f>
        <v>48093</v>
      </c>
      <c r="B1416" s="1" t="str">
        <f>"47664"</f>
        <v>47664</v>
      </c>
      <c r="C1416" s="1" t="str">
        <f>"WARREN"</f>
        <v>WARREN</v>
      </c>
      <c r="D1416" s="1" t="str">
        <f t="shared" si="99"/>
        <v>MI</v>
      </c>
      <c r="E1416" s="2">
        <v>1</v>
      </c>
      <c r="F1416" s="2">
        <v>1</v>
      </c>
      <c r="G1416" s="2">
        <v>1</v>
      </c>
      <c r="H1416" s="2">
        <v>1</v>
      </c>
    </row>
    <row r="1417" spans="1:8" x14ac:dyDescent="0.25">
      <c r="A1417" s="1" t="str">
        <f>"48309"</f>
        <v>48309</v>
      </c>
      <c r="B1417" s="1" t="str">
        <f>"47664"</f>
        <v>47664</v>
      </c>
      <c r="C1417" s="1" t="str">
        <f>"ROCHESTER"</f>
        <v>ROCHESTER</v>
      </c>
      <c r="D1417" s="1" t="str">
        <f t="shared" si="99"/>
        <v>MI</v>
      </c>
      <c r="E1417" s="2">
        <v>1</v>
      </c>
      <c r="F1417" s="2">
        <v>1</v>
      </c>
      <c r="G1417" s="2">
        <v>1</v>
      </c>
      <c r="H1417" s="2">
        <v>1</v>
      </c>
    </row>
    <row r="1418" spans="1:8" x14ac:dyDescent="0.25">
      <c r="A1418" s="1" t="str">
        <f>"48230"</f>
        <v>48230</v>
      </c>
      <c r="B1418" s="1" t="str">
        <f>"19804"</f>
        <v>19804</v>
      </c>
      <c r="C1418" s="1" t="str">
        <f>"GROSSE POINTE"</f>
        <v>GROSSE POINTE</v>
      </c>
      <c r="D1418" s="1" t="str">
        <f t="shared" si="99"/>
        <v>MI</v>
      </c>
      <c r="E1418" s="2">
        <v>1</v>
      </c>
      <c r="F1418" s="2">
        <v>1</v>
      </c>
      <c r="G1418" s="2">
        <v>1</v>
      </c>
      <c r="H1418" s="2">
        <v>1</v>
      </c>
    </row>
    <row r="1419" spans="1:8" x14ac:dyDescent="0.25">
      <c r="A1419" s="1" t="str">
        <f>"48187"</f>
        <v>48187</v>
      </c>
      <c r="B1419" s="1" t="str">
        <f>"19804"</f>
        <v>19804</v>
      </c>
      <c r="C1419" s="1" t="str">
        <f>"CANTON"</f>
        <v>CANTON</v>
      </c>
      <c r="D1419" s="1" t="str">
        <f t="shared" si="99"/>
        <v>MI</v>
      </c>
      <c r="E1419" s="2">
        <v>1</v>
      </c>
      <c r="F1419" s="2">
        <v>1</v>
      </c>
      <c r="G1419" s="2">
        <v>1</v>
      </c>
      <c r="H1419" s="2">
        <v>1</v>
      </c>
    </row>
    <row r="1420" spans="1:8" x14ac:dyDescent="0.25">
      <c r="A1420" s="1" t="str">
        <f>"48112"</f>
        <v>48112</v>
      </c>
      <c r="B1420" s="1" t="str">
        <f>"19804"</f>
        <v>19804</v>
      </c>
      <c r="C1420" s="1" t="str">
        <f>"BELLEVILLE"</f>
        <v>BELLEVILLE</v>
      </c>
      <c r="D1420" s="1" t="str">
        <f t="shared" si="99"/>
        <v>MI</v>
      </c>
      <c r="E1420" s="2">
        <v>1</v>
      </c>
      <c r="F1420" s="2">
        <v>1</v>
      </c>
      <c r="G1420" s="2">
        <v>1</v>
      </c>
      <c r="H1420" s="2">
        <v>1</v>
      </c>
    </row>
    <row r="1421" spans="1:8" x14ac:dyDescent="0.25">
      <c r="A1421" s="1" t="str">
        <f>"60453"</f>
        <v>60453</v>
      </c>
      <c r="B1421" s="1" t="str">
        <f>"16984"</f>
        <v>16984</v>
      </c>
      <c r="C1421" s="1" t="str">
        <f>"OAK LAWN"</f>
        <v>OAK LAWN</v>
      </c>
      <c r="D1421" s="1" t="str">
        <f t="shared" ref="D1421:D1430" si="100">"IL"</f>
        <v>IL</v>
      </c>
      <c r="E1421" s="2">
        <v>1</v>
      </c>
      <c r="F1421" s="2">
        <v>1</v>
      </c>
      <c r="G1421" s="2">
        <v>1</v>
      </c>
      <c r="H1421" s="2">
        <v>1</v>
      </c>
    </row>
    <row r="1422" spans="1:8" x14ac:dyDescent="0.25">
      <c r="A1422" s="1" t="str">
        <f>"60532"</f>
        <v>60532</v>
      </c>
      <c r="B1422" s="1" t="str">
        <f>"16984"</f>
        <v>16984</v>
      </c>
      <c r="C1422" s="1" t="str">
        <f>"LISLE"</f>
        <v>LISLE</v>
      </c>
      <c r="D1422" s="1" t="str">
        <f t="shared" si="100"/>
        <v>IL</v>
      </c>
      <c r="E1422" s="2">
        <v>1</v>
      </c>
      <c r="F1422" s="2">
        <v>1</v>
      </c>
      <c r="G1422" s="2">
        <v>1</v>
      </c>
      <c r="H1422" s="2">
        <v>1</v>
      </c>
    </row>
    <row r="1423" spans="1:8" x14ac:dyDescent="0.25">
      <c r="A1423" s="1" t="str">
        <f>"60542"</f>
        <v>60542</v>
      </c>
      <c r="B1423" s="1" t="str">
        <f>"20994"</f>
        <v>20994</v>
      </c>
      <c r="C1423" s="1" t="str">
        <f>"NORTH AURORA"</f>
        <v>NORTH AURORA</v>
      </c>
      <c r="D1423" s="1" t="str">
        <f t="shared" si="100"/>
        <v>IL</v>
      </c>
      <c r="E1423" s="2">
        <v>1</v>
      </c>
      <c r="F1423" s="2">
        <v>1</v>
      </c>
      <c r="G1423" s="2">
        <v>1</v>
      </c>
      <c r="H1423" s="2">
        <v>1</v>
      </c>
    </row>
    <row r="1424" spans="1:8" x14ac:dyDescent="0.25">
      <c r="A1424" s="1" t="str">
        <f>"60526"</f>
        <v>60526</v>
      </c>
      <c r="B1424" s="1" t="str">
        <f>"16984"</f>
        <v>16984</v>
      </c>
      <c r="C1424" s="1" t="str">
        <f>"LA GRANGE PARK"</f>
        <v>LA GRANGE PARK</v>
      </c>
      <c r="D1424" s="1" t="str">
        <f t="shared" si="100"/>
        <v>IL</v>
      </c>
      <c r="E1424" s="2">
        <v>1</v>
      </c>
      <c r="F1424" s="2">
        <v>1</v>
      </c>
      <c r="G1424" s="2">
        <v>1</v>
      </c>
      <c r="H1424" s="2">
        <v>1</v>
      </c>
    </row>
    <row r="1425" spans="1:8" x14ac:dyDescent="0.25">
      <c r="A1425" s="1" t="str">
        <f>"60123"</f>
        <v>60123</v>
      </c>
      <c r="B1425" s="1" t="str">
        <f>"20994"</f>
        <v>20994</v>
      </c>
      <c r="C1425" s="1" t="str">
        <f>"ELGIN"</f>
        <v>ELGIN</v>
      </c>
      <c r="D1425" s="1" t="str">
        <f t="shared" si="100"/>
        <v>IL</v>
      </c>
      <c r="E1425" s="2">
        <v>1</v>
      </c>
      <c r="F1425" s="2">
        <v>1</v>
      </c>
      <c r="G1425" s="2">
        <v>1</v>
      </c>
      <c r="H1425" s="2">
        <v>1</v>
      </c>
    </row>
    <row r="1426" spans="1:8" x14ac:dyDescent="0.25">
      <c r="A1426" s="1" t="str">
        <f>"60081"</f>
        <v>60081</v>
      </c>
      <c r="B1426" s="1" t="str">
        <f>"29404"</f>
        <v>29404</v>
      </c>
      <c r="C1426" s="1" t="str">
        <f>"SPRING GROVE"</f>
        <v>SPRING GROVE</v>
      </c>
      <c r="D1426" s="1" t="str">
        <f t="shared" si="100"/>
        <v>IL</v>
      </c>
      <c r="E1426" s="2">
        <v>0.228057379042061</v>
      </c>
      <c r="F1426" s="2">
        <v>3.00751879699248E-2</v>
      </c>
      <c r="G1426" s="2">
        <v>0.15686274509803899</v>
      </c>
      <c r="H1426" s="2">
        <v>0.214684222271814</v>
      </c>
    </row>
    <row r="1427" spans="1:8" x14ac:dyDescent="0.25">
      <c r="A1427" s="1" t="str">
        <f>"60081"</f>
        <v>60081</v>
      </c>
      <c r="B1427" s="1" t="str">
        <f>"16984"</f>
        <v>16984</v>
      </c>
      <c r="C1427" s="1" t="str">
        <f>"SPRING GROVE"</f>
        <v>SPRING GROVE</v>
      </c>
      <c r="D1427" s="1" t="str">
        <f t="shared" si="100"/>
        <v>IL</v>
      </c>
      <c r="E1427" s="2">
        <v>0.77194262095793797</v>
      </c>
      <c r="F1427" s="2">
        <v>0.96992481203007497</v>
      </c>
      <c r="G1427" s="2">
        <v>0.84313725490196001</v>
      </c>
      <c r="H1427" s="2">
        <v>0.78531577772818495</v>
      </c>
    </row>
    <row r="1428" spans="1:8" x14ac:dyDescent="0.25">
      <c r="A1428" s="1" t="str">
        <f>"60620"</f>
        <v>60620</v>
      </c>
      <c r="B1428" s="1" t="str">
        <f>"16984"</f>
        <v>16984</v>
      </c>
      <c r="C1428" s="1" t="str">
        <f>"CHICAGO"</f>
        <v>CHICAGO</v>
      </c>
      <c r="D1428" s="1" t="str">
        <f t="shared" si="100"/>
        <v>IL</v>
      </c>
      <c r="E1428" s="2">
        <v>1</v>
      </c>
      <c r="F1428" s="2">
        <v>1</v>
      </c>
      <c r="G1428" s="2">
        <v>1</v>
      </c>
      <c r="H1428" s="2">
        <v>1</v>
      </c>
    </row>
    <row r="1429" spans="1:8" x14ac:dyDescent="0.25">
      <c r="A1429" s="1" t="str">
        <f>"60621"</f>
        <v>60621</v>
      </c>
      <c r="B1429" s="1" t="str">
        <f>"16984"</f>
        <v>16984</v>
      </c>
      <c r="C1429" s="1" t="str">
        <f>"CHICAGO"</f>
        <v>CHICAGO</v>
      </c>
      <c r="D1429" s="1" t="str">
        <f t="shared" si="100"/>
        <v>IL</v>
      </c>
      <c r="E1429" s="2">
        <v>1</v>
      </c>
      <c r="F1429" s="2">
        <v>1</v>
      </c>
      <c r="G1429" s="2">
        <v>1</v>
      </c>
      <c r="H1429" s="2">
        <v>1</v>
      </c>
    </row>
    <row r="1430" spans="1:8" x14ac:dyDescent="0.25">
      <c r="A1430" s="1" t="str">
        <f>"60607"</f>
        <v>60607</v>
      </c>
      <c r="B1430" s="1" t="str">
        <f>"16984"</f>
        <v>16984</v>
      </c>
      <c r="C1430" s="1" t="str">
        <f>"CHICAGO"</f>
        <v>CHICAGO</v>
      </c>
      <c r="D1430" s="1" t="str">
        <f t="shared" si="100"/>
        <v>IL</v>
      </c>
      <c r="E1430" s="2">
        <v>1</v>
      </c>
      <c r="F1430" s="2">
        <v>1</v>
      </c>
      <c r="G1430" s="2">
        <v>1</v>
      </c>
      <c r="H1430" s="2">
        <v>1</v>
      </c>
    </row>
    <row r="1431" spans="1:8" x14ac:dyDescent="0.25">
      <c r="A1431" s="1" t="str">
        <f>"75030"</f>
        <v>75030</v>
      </c>
      <c r="B1431" s="1" t="str">
        <f t="shared" ref="B1431:B1438" si="101">"19124"</f>
        <v>19124</v>
      </c>
      <c r="C1431" s="1" t="str">
        <f>"ROWLETT"</f>
        <v>ROWLETT</v>
      </c>
      <c r="D1431" s="1" t="str">
        <f t="shared" ref="D1431:D1446" si="102">"TX"</f>
        <v>TX</v>
      </c>
      <c r="E1431" s="2">
        <v>1</v>
      </c>
      <c r="F1431" s="2">
        <v>1</v>
      </c>
      <c r="G1431" s="2">
        <v>1</v>
      </c>
      <c r="H1431" s="2">
        <v>1</v>
      </c>
    </row>
    <row r="1432" spans="1:8" x14ac:dyDescent="0.25">
      <c r="A1432" s="1" t="str">
        <f>"75019"</f>
        <v>75019</v>
      </c>
      <c r="B1432" s="1" t="str">
        <f t="shared" si="101"/>
        <v>19124</v>
      </c>
      <c r="C1432" s="1" t="str">
        <f>"COPPELL"</f>
        <v>COPPELL</v>
      </c>
      <c r="D1432" s="1" t="str">
        <f t="shared" si="102"/>
        <v>TX</v>
      </c>
      <c r="E1432" s="2">
        <v>1</v>
      </c>
      <c r="F1432" s="2">
        <v>1</v>
      </c>
      <c r="G1432" s="2">
        <v>1</v>
      </c>
      <c r="H1432" s="2">
        <v>1</v>
      </c>
    </row>
    <row r="1433" spans="1:8" x14ac:dyDescent="0.25">
      <c r="A1433" s="1" t="str">
        <f>"75038"</f>
        <v>75038</v>
      </c>
      <c r="B1433" s="1" t="str">
        <f t="shared" si="101"/>
        <v>19124</v>
      </c>
      <c r="C1433" s="1" t="str">
        <f>"IRVING"</f>
        <v>IRVING</v>
      </c>
      <c r="D1433" s="1" t="str">
        <f t="shared" si="102"/>
        <v>TX</v>
      </c>
      <c r="E1433" s="2">
        <v>1</v>
      </c>
      <c r="F1433" s="2">
        <v>1</v>
      </c>
      <c r="G1433" s="2">
        <v>1</v>
      </c>
      <c r="H1433" s="2">
        <v>1</v>
      </c>
    </row>
    <row r="1434" spans="1:8" x14ac:dyDescent="0.25">
      <c r="A1434" s="1" t="str">
        <f>"75042"</f>
        <v>75042</v>
      </c>
      <c r="B1434" s="1" t="str">
        <f t="shared" si="101"/>
        <v>19124</v>
      </c>
      <c r="C1434" s="1" t="str">
        <f>"GARLAND"</f>
        <v>GARLAND</v>
      </c>
      <c r="D1434" s="1" t="str">
        <f t="shared" si="102"/>
        <v>TX</v>
      </c>
      <c r="E1434" s="2">
        <v>1</v>
      </c>
      <c r="F1434" s="2">
        <v>1</v>
      </c>
      <c r="G1434" s="2">
        <v>1</v>
      </c>
      <c r="H1434" s="2">
        <v>1</v>
      </c>
    </row>
    <row r="1435" spans="1:8" x14ac:dyDescent="0.25">
      <c r="A1435" s="1" t="str">
        <f>"75046"</f>
        <v>75046</v>
      </c>
      <c r="B1435" s="1" t="str">
        <f t="shared" si="101"/>
        <v>19124</v>
      </c>
      <c r="C1435" s="1" t="str">
        <f>"GARLAND"</f>
        <v>GARLAND</v>
      </c>
      <c r="D1435" s="1" t="str">
        <f t="shared" si="102"/>
        <v>TX</v>
      </c>
      <c r="E1435" s="2">
        <v>1</v>
      </c>
      <c r="F1435" s="2">
        <v>1</v>
      </c>
      <c r="G1435" s="2">
        <v>1</v>
      </c>
      <c r="H1435" s="2">
        <v>1</v>
      </c>
    </row>
    <row r="1436" spans="1:8" x14ac:dyDescent="0.25">
      <c r="A1436" s="1" t="str">
        <f>"75248"</f>
        <v>75248</v>
      </c>
      <c r="B1436" s="1" t="str">
        <f t="shared" si="101"/>
        <v>19124</v>
      </c>
      <c r="C1436" s="1" t="str">
        <f t="shared" ref="C1436:C1441" si="103">"DALLAS"</f>
        <v>DALLAS</v>
      </c>
      <c r="D1436" s="1" t="str">
        <f t="shared" si="102"/>
        <v>TX</v>
      </c>
      <c r="E1436" s="2">
        <v>1</v>
      </c>
      <c r="F1436" s="2">
        <v>1</v>
      </c>
      <c r="G1436" s="2">
        <v>1</v>
      </c>
      <c r="H1436" s="2">
        <v>1</v>
      </c>
    </row>
    <row r="1437" spans="1:8" x14ac:dyDescent="0.25">
      <c r="A1437" s="1" t="str">
        <f>"75246"</f>
        <v>75246</v>
      </c>
      <c r="B1437" s="1" t="str">
        <f t="shared" si="101"/>
        <v>19124</v>
      </c>
      <c r="C1437" s="1" t="str">
        <f t="shared" si="103"/>
        <v>DALLAS</v>
      </c>
      <c r="D1437" s="1" t="str">
        <f t="shared" si="102"/>
        <v>TX</v>
      </c>
      <c r="E1437" s="2">
        <v>1</v>
      </c>
      <c r="F1437" s="2">
        <v>1</v>
      </c>
      <c r="G1437" s="2">
        <v>1</v>
      </c>
      <c r="H1437" s="2">
        <v>1</v>
      </c>
    </row>
    <row r="1438" spans="1:8" x14ac:dyDescent="0.25">
      <c r="A1438" s="1" t="str">
        <f>"75261"</f>
        <v>75261</v>
      </c>
      <c r="B1438" s="1" t="str">
        <f t="shared" si="101"/>
        <v>19124</v>
      </c>
      <c r="C1438" s="1" t="str">
        <f t="shared" si="103"/>
        <v>DALLAS</v>
      </c>
      <c r="D1438" s="1" t="str">
        <f t="shared" si="102"/>
        <v>TX</v>
      </c>
      <c r="E1438" s="2">
        <v>0</v>
      </c>
      <c r="F1438" s="2">
        <v>2.87009063444108E-2</v>
      </c>
      <c r="G1438" s="2">
        <v>0.24137931034482701</v>
      </c>
      <c r="H1438" s="2">
        <v>1.89090909090909E-2</v>
      </c>
    </row>
    <row r="1439" spans="1:8" x14ac:dyDescent="0.25">
      <c r="A1439" s="1" t="str">
        <f>"75261"</f>
        <v>75261</v>
      </c>
      <c r="B1439" s="1" t="str">
        <f>"23104"</f>
        <v>23104</v>
      </c>
      <c r="C1439" s="1" t="str">
        <f t="shared" si="103"/>
        <v>DALLAS</v>
      </c>
      <c r="D1439" s="1" t="str">
        <f t="shared" si="102"/>
        <v>TX</v>
      </c>
      <c r="E1439" s="2">
        <v>1</v>
      </c>
      <c r="F1439" s="2">
        <v>0.97129909365558897</v>
      </c>
      <c r="G1439" s="2">
        <v>0.75862068965517204</v>
      </c>
      <c r="H1439" s="2">
        <v>0.98109090909090901</v>
      </c>
    </row>
    <row r="1440" spans="1:8" x14ac:dyDescent="0.25">
      <c r="A1440" s="1" t="str">
        <f>"75233"</f>
        <v>75233</v>
      </c>
      <c r="B1440" s="1" t="str">
        <f>"19124"</f>
        <v>19124</v>
      </c>
      <c r="C1440" s="1" t="str">
        <f t="shared" si="103"/>
        <v>DALLAS</v>
      </c>
      <c r="D1440" s="1" t="str">
        <f t="shared" si="102"/>
        <v>TX</v>
      </c>
      <c r="E1440" s="2">
        <v>1</v>
      </c>
      <c r="F1440" s="2">
        <v>1</v>
      </c>
      <c r="G1440" s="2">
        <v>1</v>
      </c>
      <c r="H1440" s="2">
        <v>1</v>
      </c>
    </row>
    <row r="1441" spans="1:8" x14ac:dyDescent="0.25">
      <c r="A1441" s="1" t="str">
        <f>"75205"</f>
        <v>75205</v>
      </c>
      <c r="B1441" s="1" t="str">
        <f>"19124"</f>
        <v>19124</v>
      </c>
      <c r="C1441" s="1" t="str">
        <f t="shared" si="103"/>
        <v>DALLAS</v>
      </c>
      <c r="D1441" s="1" t="str">
        <f t="shared" si="102"/>
        <v>TX</v>
      </c>
      <c r="E1441" s="2">
        <v>1</v>
      </c>
      <c r="F1441" s="2">
        <v>1</v>
      </c>
      <c r="G1441" s="2">
        <v>1</v>
      </c>
      <c r="H1441" s="2">
        <v>1</v>
      </c>
    </row>
    <row r="1442" spans="1:8" x14ac:dyDescent="0.25">
      <c r="A1442" s="1" t="str">
        <f>"75423"</f>
        <v>75423</v>
      </c>
      <c r="B1442" s="1" t="str">
        <f>"19124"</f>
        <v>19124</v>
      </c>
      <c r="C1442" s="1" t="str">
        <f>"CELESTE"</f>
        <v>CELESTE</v>
      </c>
      <c r="D1442" s="1" t="str">
        <f t="shared" si="102"/>
        <v>TX</v>
      </c>
      <c r="E1442" s="2">
        <v>1</v>
      </c>
      <c r="F1442" s="2">
        <v>1</v>
      </c>
      <c r="G1442" s="2">
        <v>1</v>
      </c>
      <c r="H1442" s="2">
        <v>1</v>
      </c>
    </row>
    <row r="1443" spans="1:8" x14ac:dyDescent="0.25">
      <c r="A1443" s="1" t="str">
        <f>"75189"</f>
        <v>75189</v>
      </c>
      <c r="B1443" s="1" t="str">
        <f>"19124"</f>
        <v>19124</v>
      </c>
      <c r="C1443" s="1" t="str">
        <f>"ROYSE CITY"</f>
        <v>ROYSE CITY</v>
      </c>
      <c r="D1443" s="1" t="str">
        <f t="shared" si="102"/>
        <v>TX</v>
      </c>
      <c r="E1443" s="2">
        <v>1</v>
      </c>
      <c r="F1443" s="2">
        <v>1</v>
      </c>
      <c r="G1443" s="2">
        <v>1</v>
      </c>
      <c r="H1443" s="2">
        <v>1</v>
      </c>
    </row>
    <row r="1444" spans="1:8" x14ac:dyDescent="0.25">
      <c r="A1444" s="1" t="str">
        <f>"76102"</f>
        <v>76102</v>
      </c>
      <c r="B1444" s="1" t="str">
        <f>"23104"</f>
        <v>23104</v>
      </c>
      <c r="C1444" s="1" t="str">
        <f>"FORT WORTH"</f>
        <v>FORT WORTH</v>
      </c>
      <c r="D1444" s="1" t="str">
        <f t="shared" si="102"/>
        <v>TX</v>
      </c>
      <c r="E1444" s="2">
        <v>1</v>
      </c>
      <c r="F1444" s="2">
        <v>1</v>
      </c>
      <c r="G1444" s="2">
        <v>1</v>
      </c>
      <c r="H1444" s="2">
        <v>1</v>
      </c>
    </row>
    <row r="1445" spans="1:8" x14ac:dyDescent="0.25">
      <c r="A1445" s="1" t="str">
        <f>"76040"</f>
        <v>76040</v>
      </c>
      <c r="B1445" s="1" t="str">
        <f>"23104"</f>
        <v>23104</v>
      </c>
      <c r="C1445" s="1" t="str">
        <f>"EULESS"</f>
        <v>EULESS</v>
      </c>
      <c r="D1445" s="1" t="str">
        <f t="shared" si="102"/>
        <v>TX</v>
      </c>
      <c r="E1445" s="2">
        <v>1</v>
      </c>
      <c r="F1445" s="2">
        <v>1</v>
      </c>
      <c r="G1445" s="2">
        <v>1</v>
      </c>
      <c r="H1445" s="2">
        <v>1</v>
      </c>
    </row>
    <row r="1446" spans="1:8" x14ac:dyDescent="0.25">
      <c r="A1446" s="1" t="str">
        <f>"76108"</f>
        <v>76108</v>
      </c>
      <c r="B1446" s="1" t="str">
        <f>"23104"</f>
        <v>23104</v>
      </c>
      <c r="C1446" s="1" t="str">
        <f>"FORT WORTH"</f>
        <v>FORT WORTH</v>
      </c>
      <c r="D1446" s="1" t="str">
        <f t="shared" si="102"/>
        <v>TX</v>
      </c>
      <c r="E1446" s="2">
        <v>1</v>
      </c>
      <c r="F1446" s="2">
        <v>1</v>
      </c>
      <c r="G1446" s="2">
        <v>1</v>
      </c>
      <c r="H1446" s="2">
        <v>1</v>
      </c>
    </row>
    <row r="1447" spans="1:8" x14ac:dyDescent="0.25">
      <c r="A1447" s="1" t="str">
        <f>"90023"</f>
        <v>90023</v>
      </c>
      <c r="B1447" s="1" t="str">
        <f t="shared" ref="B1447:B1455" si="104">"31084"</f>
        <v>31084</v>
      </c>
      <c r="C1447" s="1" t="str">
        <f>"LOS ANGELES"</f>
        <v>LOS ANGELES</v>
      </c>
      <c r="D1447" s="1" t="str">
        <f t="shared" ref="D1447:D1463" si="105">"CA"</f>
        <v>CA</v>
      </c>
      <c r="E1447" s="2">
        <v>1</v>
      </c>
      <c r="F1447" s="2">
        <v>1</v>
      </c>
      <c r="G1447" s="2">
        <v>1</v>
      </c>
      <c r="H1447" s="2">
        <v>1</v>
      </c>
    </row>
    <row r="1448" spans="1:8" x14ac:dyDescent="0.25">
      <c r="A1448" s="1" t="str">
        <f>"90069"</f>
        <v>90069</v>
      </c>
      <c r="B1448" s="1" t="str">
        <f t="shared" si="104"/>
        <v>31084</v>
      </c>
      <c r="C1448" s="1" t="str">
        <f>"WEST HOLLYWOOD"</f>
        <v>WEST HOLLYWOOD</v>
      </c>
      <c r="D1448" s="1" t="str">
        <f t="shared" si="105"/>
        <v>CA</v>
      </c>
      <c r="E1448" s="2">
        <v>1</v>
      </c>
      <c r="F1448" s="2">
        <v>1</v>
      </c>
      <c r="G1448" s="2">
        <v>1</v>
      </c>
      <c r="H1448" s="2">
        <v>1</v>
      </c>
    </row>
    <row r="1449" spans="1:8" x14ac:dyDescent="0.25">
      <c r="A1449" s="1" t="str">
        <f>"90249"</f>
        <v>90249</v>
      </c>
      <c r="B1449" s="1" t="str">
        <f t="shared" si="104"/>
        <v>31084</v>
      </c>
      <c r="C1449" s="1" t="str">
        <f>"GARDENA"</f>
        <v>GARDENA</v>
      </c>
      <c r="D1449" s="1" t="str">
        <f t="shared" si="105"/>
        <v>CA</v>
      </c>
      <c r="E1449" s="2">
        <v>1</v>
      </c>
      <c r="F1449" s="2">
        <v>1</v>
      </c>
      <c r="G1449" s="2">
        <v>1</v>
      </c>
      <c r="H1449" s="2">
        <v>1</v>
      </c>
    </row>
    <row r="1450" spans="1:8" x14ac:dyDescent="0.25">
      <c r="A1450" s="1" t="str">
        <f>"90008"</f>
        <v>90008</v>
      </c>
      <c r="B1450" s="1" t="str">
        <f t="shared" si="104"/>
        <v>31084</v>
      </c>
      <c r="C1450" s="1" t="str">
        <f>"LOS ANGELES"</f>
        <v>LOS ANGELES</v>
      </c>
      <c r="D1450" s="1" t="str">
        <f t="shared" si="105"/>
        <v>CA</v>
      </c>
      <c r="E1450" s="2">
        <v>1</v>
      </c>
      <c r="F1450" s="2">
        <v>1</v>
      </c>
      <c r="G1450" s="2">
        <v>1</v>
      </c>
      <c r="H1450" s="2">
        <v>1</v>
      </c>
    </row>
    <row r="1451" spans="1:8" x14ac:dyDescent="0.25">
      <c r="A1451" s="1" t="str">
        <f>"90042"</f>
        <v>90042</v>
      </c>
      <c r="B1451" s="1" t="str">
        <f t="shared" si="104"/>
        <v>31084</v>
      </c>
      <c r="C1451" s="1" t="str">
        <f>"LOS ANGELES"</f>
        <v>LOS ANGELES</v>
      </c>
      <c r="D1451" s="1" t="str">
        <f t="shared" si="105"/>
        <v>CA</v>
      </c>
      <c r="E1451" s="2">
        <v>1</v>
      </c>
      <c r="F1451" s="2">
        <v>1</v>
      </c>
      <c r="G1451" s="2">
        <v>1</v>
      </c>
      <c r="H1451" s="2">
        <v>1</v>
      </c>
    </row>
    <row r="1452" spans="1:8" x14ac:dyDescent="0.25">
      <c r="A1452" s="1" t="str">
        <f>"90295"</f>
        <v>90295</v>
      </c>
      <c r="B1452" s="1" t="str">
        <f t="shared" si="104"/>
        <v>31084</v>
      </c>
      <c r="C1452" s="1" t="str">
        <f>"MARINA DEL REY"</f>
        <v>MARINA DEL REY</v>
      </c>
      <c r="D1452" s="1" t="str">
        <f t="shared" si="105"/>
        <v>CA</v>
      </c>
      <c r="E1452" s="2">
        <v>1</v>
      </c>
      <c r="F1452" s="2">
        <v>1</v>
      </c>
      <c r="G1452" s="2">
        <v>1</v>
      </c>
      <c r="H1452" s="2">
        <v>1</v>
      </c>
    </row>
    <row r="1453" spans="1:8" x14ac:dyDescent="0.25">
      <c r="A1453" s="1" t="str">
        <f>"90603"</f>
        <v>90603</v>
      </c>
      <c r="B1453" s="1" t="str">
        <f t="shared" si="104"/>
        <v>31084</v>
      </c>
      <c r="C1453" s="1" t="str">
        <f>"WHITTIER"</f>
        <v>WHITTIER</v>
      </c>
      <c r="D1453" s="1" t="str">
        <f t="shared" si="105"/>
        <v>CA</v>
      </c>
      <c r="E1453" s="2">
        <v>1</v>
      </c>
      <c r="F1453" s="2">
        <v>1</v>
      </c>
      <c r="G1453" s="2">
        <v>1</v>
      </c>
      <c r="H1453" s="2">
        <v>1</v>
      </c>
    </row>
    <row r="1454" spans="1:8" x14ac:dyDescent="0.25">
      <c r="A1454" s="1" t="str">
        <f>"91384"</f>
        <v>91384</v>
      </c>
      <c r="B1454" s="1" t="str">
        <f t="shared" si="104"/>
        <v>31084</v>
      </c>
      <c r="C1454" s="1" t="str">
        <f>"CASTAIC"</f>
        <v>CASTAIC</v>
      </c>
      <c r="D1454" s="1" t="str">
        <f t="shared" si="105"/>
        <v>CA</v>
      </c>
      <c r="E1454" s="2">
        <v>1</v>
      </c>
      <c r="F1454" s="2">
        <v>1</v>
      </c>
      <c r="G1454" s="2">
        <v>1</v>
      </c>
      <c r="H1454" s="2">
        <v>1</v>
      </c>
    </row>
    <row r="1455" spans="1:8" x14ac:dyDescent="0.25">
      <c r="A1455" s="1" t="str">
        <f>"91104"</f>
        <v>91104</v>
      </c>
      <c r="B1455" s="1" t="str">
        <f t="shared" si="104"/>
        <v>31084</v>
      </c>
      <c r="C1455" s="1" t="str">
        <f>"PASADENA"</f>
        <v>PASADENA</v>
      </c>
      <c r="D1455" s="1" t="str">
        <f t="shared" si="105"/>
        <v>CA</v>
      </c>
      <c r="E1455" s="2">
        <v>1</v>
      </c>
      <c r="F1455" s="2">
        <v>1</v>
      </c>
      <c r="G1455" s="2">
        <v>1</v>
      </c>
      <c r="H1455" s="2">
        <v>1</v>
      </c>
    </row>
    <row r="1456" spans="1:8" x14ac:dyDescent="0.25">
      <c r="A1456" s="1" t="str">
        <f>"94061"</f>
        <v>94061</v>
      </c>
      <c r="B1456" s="1" t="str">
        <f>"41884"</f>
        <v>41884</v>
      </c>
      <c r="C1456" s="1" t="str">
        <f>"REDWOOD CITY"</f>
        <v>REDWOOD CITY</v>
      </c>
      <c r="D1456" s="1" t="str">
        <f t="shared" si="105"/>
        <v>CA</v>
      </c>
      <c r="E1456" s="2">
        <v>1</v>
      </c>
      <c r="F1456" s="2">
        <v>1</v>
      </c>
      <c r="G1456" s="2">
        <v>1</v>
      </c>
      <c r="H1456" s="2">
        <v>1</v>
      </c>
    </row>
    <row r="1457" spans="1:8" x14ac:dyDescent="0.25">
      <c r="A1457" s="1" t="str">
        <f>"94027"</f>
        <v>94027</v>
      </c>
      <c r="B1457" s="1" t="str">
        <f>"41884"</f>
        <v>41884</v>
      </c>
      <c r="C1457" s="1" t="str">
        <f>"ATHERTON"</f>
        <v>ATHERTON</v>
      </c>
      <c r="D1457" s="1" t="str">
        <f t="shared" si="105"/>
        <v>CA</v>
      </c>
      <c r="E1457" s="2">
        <v>1</v>
      </c>
      <c r="F1457" s="2">
        <v>1</v>
      </c>
      <c r="G1457" s="2">
        <v>1</v>
      </c>
      <c r="H1457" s="2">
        <v>1</v>
      </c>
    </row>
    <row r="1458" spans="1:8" x14ac:dyDescent="0.25">
      <c r="A1458" s="1" t="str">
        <f>"92663"</f>
        <v>92663</v>
      </c>
      <c r="B1458" s="1" t="str">
        <f>"11244"</f>
        <v>11244</v>
      </c>
      <c r="C1458" s="1" t="str">
        <f>"NEWPORT BEACH"</f>
        <v>NEWPORT BEACH</v>
      </c>
      <c r="D1458" s="1" t="str">
        <f t="shared" si="105"/>
        <v>CA</v>
      </c>
      <c r="E1458" s="2">
        <v>1</v>
      </c>
      <c r="F1458" s="2">
        <v>1</v>
      </c>
      <c r="G1458" s="2">
        <v>1</v>
      </c>
      <c r="H1458" s="2">
        <v>1</v>
      </c>
    </row>
    <row r="1459" spans="1:8" x14ac:dyDescent="0.25">
      <c r="A1459" s="1" t="str">
        <f>"91741"</f>
        <v>91741</v>
      </c>
      <c r="B1459" s="1" t="str">
        <f>"31084"</f>
        <v>31084</v>
      </c>
      <c r="C1459" s="1" t="str">
        <f>"GLENDORA"</f>
        <v>GLENDORA</v>
      </c>
      <c r="D1459" s="1" t="str">
        <f t="shared" si="105"/>
        <v>CA</v>
      </c>
      <c r="E1459" s="2">
        <v>1</v>
      </c>
      <c r="F1459" s="2">
        <v>1</v>
      </c>
      <c r="G1459" s="2">
        <v>1</v>
      </c>
      <c r="H1459" s="2">
        <v>1</v>
      </c>
    </row>
    <row r="1460" spans="1:8" x14ac:dyDescent="0.25">
      <c r="A1460" s="1" t="str">
        <f>"91210"</f>
        <v>91210</v>
      </c>
      <c r="B1460" s="1" t="str">
        <f>"31084"</f>
        <v>31084</v>
      </c>
      <c r="C1460" s="1" t="str">
        <f>"GLENDALE"</f>
        <v>GLENDALE</v>
      </c>
      <c r="D1460" s="1" t="str">
        <f t="shared" si="105"/>
        <v>CA</v>
      </c>
      <c r="E1460" s="2">
        <v>1</v>
      </c>
      <c r="F1460" s="2">
        <v>1</v>
      </c>
      <c r="G1460" s="2">
        <v>1</v>
      </c>
      <c r="H1460" s="2">
        <v>1</v>
      </c>
    </row>
    <row r="1461" spans="1:8" x14ac:dyDescent="0.25">
      <c r="A1461" s="1" t="str">
        <f>"92637"</f>
        <v>92637</v>
      </c>
      <c r="B1461" s="1" t="str">
        <f>"11244"</f>
        <v>11244</v>
      </c>
      <c r="C1461" s="1" t="str">
        <f>"LAGUNA WOODS"</f>
        <v>LAGUNA WOODS</v>
      </c>
      <c r="D1461" s="1" t="str">
        <f t="shared" si="105"/>
        <v>CA</v>
      </c>
      <c r="E1461" s="2">
        <v>1</v>
      </c>
      <c r="F1461" s="2">
        <v>1</v>
      </c>
      <c r="G1461" s="2">
        <v>1</v>
      </c>
      <c r="H1461" s="2">
        <v>1</v>
      </c>
    </row>
    <row r="1462" spans="1:8" x14ac:dyDescent="0.25">
      <c r="A1462" s="1" t="str">
        <f>"94303"</f>
        <v>94303</v>
      </c>
      <c r="B1462" s="1" t="str">
        <f>"41884"</f>
        <v>41884</v>
      </c>
      <c r="C1462" s="1" t="str">
        <f>"PALO ALTO"</f>
        <v>PALO ALTO</v>
      </c>
      <c r="D1462" s="1" t="str">
        <f t="shared" si="105"/>
        <v>CA</v>
      </c>
      <c r="E1462" s="2">
        <v>1</v>
      </c>
      <c r="F1462" s="2">
        <v>1</v>
      </c>
      <c r="G1462" s="2">
        <v>1</v>
      </c>
      <c r="H1462" s="2">
        <v>1</v>
      </c>
    </row>
    <row r="1463" spans="1:8" x14ac:dyDescent="0.25">
      <c r="A1463" s="1" t="str">
        <f>"94941"</f>
        <v>94941</v>
      </c>
      <c r="B1463" s="1" t="str">
        <f>"42034"</f>
        <v>42034</v>
      </c>
      <c r="C1463" s="1" t="str">
        <f>"MILL VALLEY"</f>
        <v>MILL VALLEY</v>
      </c>
      <c r="D1463" s="1" t="str">
        <f t="shared" si="105"/>
        <v>CA</v>
      </c>
      <c r="E1463" s="2">
        <v>1</v>
      </c>
      <c r="F1463" s="2">
        <v>1</v>
      </c>
      <c r="G1463" s="2">
        <v>1</v>
      </c>
      <c r="H1463" s="2">
        <v>1</v>
      </c>
    </row>
    <row r="1464" spans="1:8" x14ac:dyDescent="0.25">
      <c r="A1464" s="1" t="str">
        <f>"98321"</f>
        <v>98321</v>
      </c>
      <c r="B1464" s="1" t="str">
        <f>"45104"</f>
        <v>45104</v>
      </c>
      <c r="C1464" s="1" t="str">
        <f>"BUCKLEY"</f>
        <v>BUCKLEY</v>
      </c>
      <c r="D1464" s="1" t="str">
        <f t="shared" ref="D1464:D1470" si="106">"WA"</f>
        <v>WA</v>
      </c>
      <c r="E1464" s="2">
        <v>1</v>
      </c>
      <c r="F1464" s="2">
        <v>1</v>
      </c>
      <c r="G1464" s="2">
        <v>1</v>
      </c>
      <c r="H1464" s="2">
        <v>1</v>
      </c>
    </row>
    <row r="1465" spans="1:8" x14ac:dyDescent="0.25">
      <c r="A1465" s="1" t="str">
        <f>"98165"</f>
        <v>98165</v>
      </c>
      <c r="B1465" s="1" t="str">
        <f>"42644"</f>
        <v>42644</v>
      </c>
      <c r="C1465" s="1" t="str">
        <f>"SEATTLE"</f>
        <v>SEATTLE</v>
      </c>
      <c r="D1465" s="1" t="str">
        <f t="shared" si="106"/>
        <v>WA</v>
      </c>
      <c r="E1465" s="2">
        <v>1</v>
      </c>
      <c r="F1465" s="2">
        <v>1</v>
      </c>
      <c r="G1465" s="2">
        <v>1</v>
      </c>
      <c r="H1465" s="2">
        <v>1</v>
      </c>
    </row>
    <row r="1466" spans="1:8" x14ac:dyDescent="0.25">
      <c r="A1466" s="1" t="str">
        <f>"98158"</f>
        <v>98158</v>
      </c>
      <c r="B1466" s="1" t="str">
        <f>"42644"</f>
        <v>42644</v>
      </c>
      <c r="C1466" s="1" t="str">
        <f>"SEATTLE"</f>
        <v>SEATTLE</v>
      </c>
      <c r="D1466" s="1" t="str">
        <f t="shared" si="106"/>
        <v>WA</v>
      </c>
      <c r="E1466" s="2">
        <v>0</v>
      </c>
      <c r="F1466" s="2">
        <v>1</v>
      </c>
      <c r="G1466" s="2">
        <v>1</v>
      </c>
      <c r="H1466" s="2">
        <v>1</v>
      </c>
    </row>
    <row r="1467" spans="1:8" x14ac:dyDescent="0.25">
      <c r="A1467" s="1" t="str">
        <f>"98122"</f>
        <v>98122</v>
      </c>
      <c r="B1467" s="1" t="str">
        <f>"42644"</f>
        <v>42644</v>
      </c>
      <c r="C1467" s="1" t="str">
        <f>"SEATTLE"</f>
        <v>SEATTLE</v>
      </c>
      <c r="D1467" s="1" t="str">
        <f t="shared" si="106"/>
        <v>WA</v>
      </c>
      <c r="E1467" s="2">
        <v>1</v>
      </c>
      <c r="F1467" s="2">
        <v>1</v>
      </c>
      <c r="G1467" s="2">
        <v>1</v>
      </c>
      <c r="H1467" s="2">
        <v>1</v>
      </c>
    </row>
    <row r="1468" spans="1:8" x14ac:dyDescent="0.25">
      <c r="A1468" s="1" t="str">
        <f>"98092"</f>
        <v>98092</v>
      </c>
      <c r="B1468" s="1" t="str">
        <f>"45104"</f>
        <v>45104</v>
      </c>
      <c r="C1468" s="1" t="str">
        <f>"AUBURN"</f>
        <v>AUBURN</v>
      </c>
      <c r="D1468" s="1" t="str">
        <f t="shared" si="106"/>
        <v>WA</v>
      </c>
      <c r="E1468" s="2">
        <v>0.21109637488947799</v>
      </c>
      <c r="F1468" s="2">
        <v>0.215447154471544</v>
      </c>
      <c r="G1468" s="2">
        <v>0.57758620689655105</v>
      </c>
      <c r="H1468" s="2">
        <v>0.224550898203592</v>
      </c>
    </row>
    <row r="1469" spans="1:8" x14ac:dyDescent="0.25">
      <c r="A1469" s="1" t="str">
        <f>"98092"</f>
        <v>98092</v>
      </c>
      <c r="B1469" s="1" t="str">
        <f>"42644"</f>
        <v>42644</v>
      </c>
      <c r="C1469" s="1" t="str">
        <f>"AUBURN"</f>
        <v>AUBURN</v>
      </c>
      <c r="D1469" s="1" t="str">
        <f t="shared" si="106"/>
        <v>WA</v>
      </c>
      <c r="E1469" s="2">
        <v>0.78890362511052103</v>
      </c>
      <c r="F1469" s="2">
        <v>0.78455284552845495</v>
      </c>
      <c r="G1469" s="2">
        <v>0.42241379310344801</v>
      </c>
      <c r="H1469" s="2">
        <v>0.77544910179640703</v>
      </c>
    </row>
    <row r="1470" spans="1:8" x14ac:dyDescent="0.25">
      <c r="A1470" s="1" t="str">
        <f>"98272"</f>
        <v>98272</v>
      </c>
      <c r="B1470" s="1" t="str">
        <f>"42644"</f>
        <v>42644</v>
      </c>
      <c r="C1470" s="1" t="str">
        <f>"MONROE"</f>
        <v>MONROE</v>
      </c>
      <c r="D1470" s="1" t="str">
        <f t="shared" si="106"/>
        <v>WA</v>
      </c>
      <c r="E1470" s="2">
        <v>1</v>
      </c>
      <c r="F1470" s="2">
        <v>1</v>
      </c>
      <c r="G1470" s="2">
        <v>1</v>
      </c>
      <c r="H1470" s="2">
        <v>1</v>
      </c>
    </row>
    <row r="1471" spans="1:8" x14ac:dyDescent="0.25">
      <c r="A1471" s="1" t="str">
        <f>"10118"</f>
        <v>10118</v>
      </c>
      <c r="B1471" s="1" t="str">
        <f>"35614"</f>
        <v>35614</v>
      </c>
      <c r="C1471" s="1" t="str">
        <f>"NEW YORK"</f>
        <v>NEW YORK</v>
      </c>
      <c r="D1471" s="1" t="str">
        <f>"NY"</f>
        <v>NY</v>
      </c>
      <c r="E1471" s="2">
        <v>0</v>
      </c>
      <c r="F1471" s="2">
        <v>1</v>
      </c>
      <c r="G1471" s="2">
        <v>1</v>
      </c>
      <c r="H1471" s="2">
        <v>1</v>
      </c>
    </row>
    <row r="1472" spans="1:8" x14ac:dyDescent="0.25">
      <c r="A1472" s="1" t="str">
        <f>"19101"</f>
        <v>19101</v>
      </c>
      <c r="B1472" s="1" t="str">
        <f>"37964"</f>
        <v>37964</v>
      </c>
      <c r="C1472" s="1" t="str">
        <f>"PHILADELPHIA"</f>
        <v>PHILADELPHIA</v>
      </c>
      <c r="D1472" s="1" t="str">
        <f>"PA"</f>
        <v>PA</v>
      </c>
      <c r="E1472" s="2">
        <v>1</v>
      </c>
      <c r="F1472" s="2">
        <v>1</v>
      </c>
      <c r="G1472" s="2">
        <v>1</v>
      </c>
      <c r="H1472" s="2">
        <v>1</v>
      </c>
    </row>
    <row r="1473" spans="1:8" x14ac:dyDescent="0.25">
      <c r="A1473" s="1" t="str">
        <f>"20827"</f>
        <v>20827</v>
      </c>
      <c r="B1473" s="1" t="str">
        <f>"23224"</f>
        <v>23224</v>
      </c>
      <c r="C1473" s="1" t="str">
        <f>"BETHESDA"</f>
        <v>BETHESDA</v>
      </c>
      <c r="D1473" s="1" t="str">
        <f>"MD"</f>
        <v>MD</v>
      </c>
      <c r="E1473" s="2">
        <v>1</v>
      </c>
      <c r="F1473" s="2">
        <v>1</v>
      </c>
      <c r="G1473" s="2">
        <v>1</v>
      </c>
      <c r="H1473" s="2">
        <v>1</v>
      </c>
    </row>
    <row r="1474" spans="1:8" x14ac:dyDescent="0.25">
      <c r="A1474" s="1" t="str">
        <f>"33061"</f>
        <v>33061</v>
      </c>
      <c r="B1474" s="1" t="str">
        <f>"22744"</f>
        <v>22744</v>
      </c>
      <c r="C1474" s="1" t="str">
        <f>"POMPANO BEACH"</f>
        <v>POMPANO BEACH</v>
      </c>
      <c r="D1474" s="1" t="str">
        <f>"FL"</f>
        <v>FL</v>
      </c>
      <c r="E1474" s="2">
        <v>1</v>
      </c>
      <c r="F1474" s="2">
        <v>1</v>
      </c>
      <c r="G1474" s="2">
        <v>1</v>
      </c>
      <c r="H1474" s="2">
        <v>1</v>
      </c>
    </row>
    <row r="1475" spans="1:8" x14ac:dyDescent="0.25">
      <c r="A1475" s="1" t="str">
        <f>"33119"</f>
        <v>33119</v>
      </c>
      <c r="B1475" s="1" t="str">
        <f>"33124"</f>
        <v>33124</v>
      </c>
      <c r="C1475" s="1" t="str">
        <f>"MIAMI BEACH"</f>
        <v>MIAMI BEACH</v>
      </c>
      <c r="D1475" s="1" t="str">
        <f>"FL"</f>
        <v>FL</v>
      </c>
      <c r="E1475" s="2">
        <v>1</v>
      </c>
      <c r="F1475" s="2">
        <v>1</v>
      </c>
      <c r="G1475" s="2">
        <v>1</v>
      </c>
      <c r="H1475" s="2">
        <v>1</v>
      </c>
    </row>
    <row r="1476" spans="1:8" x14ac:dyDescent="0.25">
      <c r="A1476" s="1" t="str">
        <f>"33093"</f>
        <v>33093</v>
      </c>
      <c r="B1476" s="1" t="str">
        <f>"22744"</f>
        <v>22744</v>
      </c>
      <c r="C1476" s="1" t="str">
        <f>"MARGATE"</f>
        <v>MARGATE</v>
      </c>
      <c r="D1476" s="1" t="str">
        <f>"FL"</f>
        <v>FL</v>
      </c>
      <c r="E1476" s="2">
        <v>1</v>
      </c>
      <c r="F1476" s="2">
        <v>1</v>
      </c>
      <c r="G1476" s="2">
        <v>1</v>
      </c>
      <c r="H1476" s="2">
        <v>1</v>
      </c>
    </row>
    <row r="1477" spans="1:8" x14ac:dyDescent="0.25">
      <c r="A1477" s="1" t="str">
        <f>"33243"</f>
        <v>33243</v>
      </c>
      <c r="B1477" s="1" t="str">
        <f>"33124"</f>
        <v>33124</v>
      </c>
      <c r="C1477" s="1" t="str">
        <f>"MIAMI"</f>
        <v>MIAMI</v>
      </c>
      <c r="D1477" s="1" t="str">
        <f>"FL"</f>
        <v>FL</v>
      </c>
      <c r="E1477" s="2">
        <v>1</v>
      </c>
      <c r="F1477" s="2">
        <v>1</v>
      </c>
      <c r="G1477" s="2">
        <v>1</v>
      </c>
      <c r="H1477" s="2">
        <v>1</v>
      </c>
    </row>
    <row r="1478" spans="1:8" x14ac:dyDescent="0.25">
      <c r="A1478" s="1" t="str">
        <f>"60069"</f>
        <v>60069</v>
      </c>
      <c r="B1478" s="1" t="str">
        <f>"29404"</f>
        <v>29404</v>
      </c>
      <c r="C1478" s="1" t="str">
        <f>"LINCOLNSHIRE"</f>
        <v>LINCOLNSHIRE</v>
      </c>
      <c r="D1478" s="1" t="str">
        <f>"IL"</f>
        <v>IL</v>
      </c>
      <c r="E1478" s="2">
        <v>1</v>
      </c>
      <c r="F1478" s="2">
        <v>1</v>
      </c>
      <c r="G1478" s="2">
        <v>1</v>
      </c>
      <c r="H1478" s="2">
        <v>1</v>
      </c>
    </row>
    <row r="1479" spans="1:8" x14ac:dyDescent="0.25">
      <c r="A1479" s="1" t="str">
        <f>"91017"</f>
        <v>91017</v>
      </c>
      <c r="B1479" s="1" t="str">
        <f>"31084"</f>
        <v>31084</v>
      </c>
      <c r="C1479" s="1" t="str">
        <f>"MONROVIA"</f>
        <v>MONROVIA</v>
      </c>
      <c r="D1479" s="1" t="str">
        <f>"CA"</f>
        <v>CA</v>
      </c>
      <c r="E1479" s="2">
        <v>1</v>
      </c>
      <c r="F1479" s="2">
        <v>1</v>
      </c>
      <c r="G1479" s="2">
        <v>1</v>
      </c>
      <c r="H1479" s="2">
        <v>1</v>
      </c>
    </row>
    <row r="1480" spans="1:8" x14ac:dyDescent="0.25">
      <c r="A1480" s="1" t="str">
        <f>"92658"</f>
        <v>92658</v>
      </c>
      <c r="B1480" s="1" t="str">
        <f>"11244"</f>
        <v>11244</v>
      </c>
      <c r="C1480" s="1" t="str">
        <f>"NEWPORT BEACH"</f>
        <v>NEWPORT BEACH</v>
      </c>
      <c r="D1480" s="1" t="str">
        <f>"CA"</f>
        <v>CA</v>
      </c>
      <c r="E1480" s="2">
        <v>1</v>
      </c>
      <c r="F1480" s="2">
        <v>1</v>
      </c>
      <c r="G1480" s="2">
        <v>1</v>
      </c>
      <c r="H1480" s="2">
        <v>1</v>
      </c>
    </row>
    <row r="1481" spans="1:8" x14ac:dyDescent="0.25">
      <c r="A1481" s="1" t="str">
        <f>"94188"</f>
        <v>94188</v>
      </c>
      <c r="B1481" s="1" t="str">
        <f>"41884"</f>
        <v>41884</v>
      </c>
      <c r="C1481" s="1" t="str">
        <f>"SAN FRANCISCO"</f>
        <v>SAN FRANCISCO</v>
      </c>
      <c r="D1481" s="1" t="str">
        <f>"CA"</f>
        <v>CA</v>
      </c>
      <c r="E1481" s="2">
        <v>1</v>
      </c>
      <c r="F1481" s="2">
        <v>1</v>
      </c>
      <c r="G1481" s="2">
        <v>1</v>
      </c>
      <c r="H1481" s="2">
        <v>1</v>
      </c>
    </row>
    <row r="1482" spans="1:8" x14ac:dyDescent="0.25">
      <c r="A1482" s="1" t="str">
        <f>"01831"</f>
        <v>01831</v>
      </c>
      <c r="B1482" s="1" t="str">
        <f>"15764"</f>
        <v>15764</v>
      </c>
      <c r="C1482" s="1" t="str">
        <f>"HAVERHILL"</f>
        <v>HAVERHILL</v>
      </c>
      <c r="D1482" s="1" t="str">
        <f>"MA"</f>
        <v>MA</v>
      </c>
      <c r="E1482" s="2">
        <v>1</v>
      </c>
      <c r="F1482" s="2">
        <v>1</v>
      </c>
      <c r="G1482" s="2">
        <v>1</v>
      </c>
      <c r="H1482" s="2">
        <v>1</v>
      </c>
    </row>
    <row r="1483" spans="1:8" x14ac:dyDescent="0.25">
      <c r="A1483" s="1" t="str">
        <f>"01931"</f>
        <v>01931</v>
      </c>
      <c r="B1483" s="1" t="str">
        <f>"15764"</f>
        <v>15764</v>
      </c>
      <c r="C1483" s="1" t="str">
        <f>"GLOUCESTER"</f>
        <v>GLOUCESTER</v>
      </c>
      <c r="D1483" s="1" t="str">
        <f>"MA"</f>
        <v>MA</v>
      </c>
      <c r="E1483" s="2">
        <v>1</v>
      </c>
      <c r="F1483" s="2">
        <v>1</v>
      </c>
      <c r="G1483" s="2">
        <v>1</v>
      </c>
      <c r="H1483" s="2">
        <v>1</v>
      </c>
    </row>
    <row r="1484" spans="1:8" x14ac:dyDescent="0.25">
      <c r="A1484" s="1" t="str">
        <f>"08553"</f>
        <v>08553</v>
      </c>
      <c r="B1484" s="1" t="str">
        <f>"35154"</f>
        <v>35154</v>
      </c>
      <c r="C1484" s="1" t="str">
        <f>"ROCKY HILL"</f>
        <v>ROCKY HILL</v>
      </c>
      <c r="D1484" s="1" t="str">
        <f>"NJ"</f>
        <v>NJ</v>
      </c>
      <c r="E1484" s="2">
        <v>1</v>
      </c>
      <c r="F1484" s="2">
        <v>1</v>
      </c>
      <c r="G1484" s="2">
        <v>1</v>
      </c>
      <c r="H1484" s="2">
        <v>1</v>
      </c>
    </row>
    <row r="1485" spans="1:8" x14ac:dyDescent="0.25">
      <c r="A1485" s="1" t="str">
        <f>"19017"</f>
        <v>19017</v>
      </c>
      <c r="B1485" s="1" t="str">
        <f>"37964"</f>
        <v>37964</v>
      </c>
      <c r="C1485" s="1" t="str">
        <f>"CHESTER HEIGHTS"</f>
        <v>CHESTER HEIGHTS</v>
      </c>
      <c r="D1485" s="1" t="str">
        <f>"PA"</f>
        <v>PA</v>
      </c>
      <c r="E1485" s="2">
        <v>1</v>
      </c>
      <c r="F1485" s="2">
        <v>1</v>
      </c>
      <c r="G1485" s="2">
        <v>1</v>
      </c>
      <c r="H1485" s="2">
        <v>1</v>
      </c>
    </row>
    <row r="1486" spans="1:8" x14ac:dyDescent="0.25">
      <c r="A1486" s="1" t="str">
        <f>"19160"</f>
        <v>19160</v>
      </c>
      <c r="B1486" s="1" t="str">
        <f>"37964"</f>
        <v>37964</v>
      </c>
      <c r="C1486" s="1" t="str">
        <f>"PHILADELPHIA"</f>
        <v>PHILADELPHIA</v>
      </c>
      <c r="D1486" s="1" t="str">
        <f>"PA"</f>
        <v>PA</v>
      </c>
      <c r="E1486" s="2">
        <v>1</v>
      </c>
      <c r="F1486" s="2">
        <v>1</v>
      </c>
      <c r="G1486" s="2">
        <v>1</v>
      </c>
      <c r="H1486" s="2">
        <v>1</v>
      </c>
    </row>
    <row r="1487" spans="1:8" x14ac:dyDescent="0.25">
      <c r="A1487" s="1" t="str">
        <f>"19710"</f>
        <v>19710</v>
      </c>
      <c r="B1487" s="1" t="str">
        <f>"48864"</f>
        <v>48864</v>
      </c>
      <c r="C1487" s="1" t="str">
        <f>"MONTCHANIN"</f>
        <v>MONTCHANIN</v>
      </c>
      <c r="D1487" s="1" t="str">
        <f>"DE"</f>
        <v>DE</v>
      </c>
      <c r="E1487" s="2">
        <v>1</v>
      </c>
      <c r="F1487" s="2">
        <v>1</v>
      </c>
      <c r="G1487" s="2">
        <v>1</v>
      </c>
      <c r="H1487" s="2">
        <v>1</v>
      </c>
    </row>
    <row r="1488" spans="1:8" x14ac:dyDescent="0.25">
      <c r="A1488" s="1" t="str">
        <f>"33359"</f>
        <v>33359</v>
      </c>
      <c r="B1488" s="1" t="str">
        <f>"22744"</f>
        <v>22744</v>
      </c>
      <c r="C1488" s="1" t="str">
        <f>"FORT LAUDERDALE"</f>
        <v>FORT LAUDERDALE</v>
      </c>
      <c r="D1488" s="1" t="str">
        <f>"FL"</f>
        <v>FL</v>
      </c>
      <c r="E1488" s="2">
        <v>1</v>
      </c>
      <c r="F1488" s="2">
        <v>1</v>
      </c>
      <c r="G1488" s="2">
        <v>1</v>
      </c>
      <c r="H1488" s="2">
        <v>1</v>
      </c>
    </row>
    <row r="1489" spans="1:8" x14ac:dyDescent="0.25">
      <c r="A1489" s="1" t="str">
        <f>"75017"</f>
        <v>75017</v>
      </c>
      <c r="B1489" s="1" t="str">
        <f>"19124"</f>
        <v>19124</v>
      </c>
      <c r="C1489" s="1" t="str">
        <f>"IRVING"</f>
        <v>IRVING</v>
      </c>
      <c r="D1489" s="1" t="str">
        <f>"TX"</f>
        <v>TX</v>
      </c>
      <c r="E1489" s="2">
        <v>1</v>
      </c>
      <c r="F1489" s="2">
        <v>1</v>
      </c>
      <c r="G1489" s="2">
        <v>1</v>
      </c>
      <c r="H1489" s="2">
        <v>1</v>
      </c>
    </row>
    <row r="1490" spans="1:8" x14ac:dyDescent="0.25">
      <c r="A1490" s="1" t="str">
        <f>"19319"</f>
        <v>19319</v>
      </c>
      <c r="B1490" s="1" t="str">
        <f>"33874"</f>
        <v>33874</v>
      </c>
      <c r="C1490" s="1" t="str">
        <f>"CHEYNEY"</f>
        <v>CHEYNEY</v>
      </c>
      <c r="D1490" s="1" t="str">
        <f>"PA"</f>
        <v>PA</v>
      </c>
      <c r="E1490" s="2">
        <v>0.32291666666666602</v>
      </c>
      <c r="F1490" s="2">
        <v>0.33333333333333298</v>
      </c>
      <c r="G1490" s="2">
        <v>0</v>
      </c>
      <c r="H1490" s="2">
        <v>0.32352941176470501</v>
      </c>
    </row>
    <row r="1491" spans="1:8" x14ac:dyDescent="0.25">
      <c r="A1491" s="1" t="str">
        <f>"19319"</f>
        <v>19319</v>
      </c>
      <c r="B1491" s="1" t="str">
        <f>"37964"</f>
        <v>37964</v>
      </c>
      <c r="C1491" s="1" t="str">
        <f>"CHEYNEY"</f>
        <v>CHEYNEY</v>
      </c>
      <c r="D1491" s="1" t="str">
        <f>"PA"</f>
        <v>PA</v>
      </c>
      <c r="E1491" s="2">
        <v>0.67708333333333304</v>
      </c>
      <c r="F1491" s="2">
        <v>0.66666666666666596</v>
      </c>
      <c r="G1491" s="2">
        <v>0</v>
      </c>
      <c r="H1491" s="2">
        <v>0.67647058823529405</v>
      </c>
    </row>
    <row r="1492" spans="1:8" x14ac:dyDescent="0.25">
      <c r="A1492" s="1" t="str">
        <f>"33097"</f>
        <v>33097</v>
      </c>
      <c r="B1492" s="1" t="str">
        <f>"22744"</f>
        <v>22744</v>
      </c>
      <c r="C1492" s="1" t="str">
        <f>"COCONUT CREEK"</f>
        <v>COCONUT CREEK</v>
      </c>
      <c r="D1492" s="1" t="str">
        <f>"FL"</f>
        <v>FL</v>
      </c>
      <c r="E1492" s="2">
        <v>1</v>
      </c>
      <c r="F1492" s="2">
        <v>1</v>
      </c>
      <c r="G1492" s="2">
        <v>1</v>
      </c>
      <c r="H1492" s="2">
        <v>1</v>
      </c>
    </row>
    <row r="1493" spans="1:8" x14ac:dyDescent="0.25">
      <c r="A1493" s="1" t="str">
        <f>"60598"</f>
        <v>60598</v>
      </c>
      <c r="B1493" s="1" t="str">
        <f>"16984"</f>
        <v>16984</v>
      </c>
      <c r="C1493" s="1" t="str">
        <f>"AURORA"</f>
        <v>AURORA</v>
      </c>
      <c r="D1493" s="1" t="str">
        <f>"IL"</f>
        <v>IL</v>
      </c>
      <c r="E1493" s="2">
        <v>1</v>
      </c>
      <c r="F1493" s="2">
        <v>1</v>
      </c>
      <c r="G1493" s="2">
        <v>1</v>
      </c>
      <c r="H1493" s="2">
        <v>1</v>
      </c>
    </row>
    <row r="1494" spans="1:8" x14ac:dyDescent="0.25">
      <c r="A1494" s="1" t="str">
        <f>"94662"</f>
        <v>94662</v>
      </c>
      <c r="B1494" s="1" t="str">
        <f>"36084"</f>
        <v>36084</v>
      </c>
      <c r="C1494" s="1" t="str">
        <f>"EMERYVILLE"</f>
        <v>EMERYVILLE</v>
      </c>
      <c r="D1494" s="1" t="str">
        <f>"CA"</f>
        <v>CA</v>
      </c>
      <c r="E1494" s="2">
        <v>1</v>
      </c>
      <c r="F1494" s="2">
        <v>1</v>
      </c>
      <c r="G1494" s="2">
        <v>1</v>
      </c>
      <c r="H1494" s="2">
        <v>1</v>
      </c>
    </row>
    <row r="1495" spans="1:8" x14ac:dyDescent="0.25">
      <c r="A1495" s="1" t="str">
        <f>"10271"</f>
        <v>10271</v>
      </c>
      <c r="B1495" s="1" t="str">
        <f>"35614"</f>
        <v>35614</v>
      </c>
      <c r="C1495" s="1" t="str">
        <f>"NEW YORK"</f>
        <v>NEW YORK</v>
      </c>
      <c r="D1495" s="1" t="str">
        <f>"NY"</f>
        <v>NY</v>
      </c>
      <c r="E1495" s="2">
        <v>0</v>
      </c>
      <c r="F1495" s="2">
        <v>1</v>
      </c>
      <c r="G1495" s="2">
        <v>1</v>
      </c>
      <c r="H1495" s="2">
        <v>1</v>
      </c>
    </row>
    <row r="1496" spans="1:8" x14ac:dyDescent="0.25">
      <c r="A1496" s="1" t="str">
        <f>"19016"</f>
        <v>19016</v>
      </c>
      <c r="B1496" s="1" t="str">
        <f>"37964"</f>
        <v>37964</v>
      </c>
      <c r="C1496" s="1" t="str">
        <f>"CHESTER"</f>
        <v>CHESTER</v>
      </c>
      <c r="D1496" s="1" t="str">
        <f>"PA"</f>
        <v>PA</v>
      </c>
      <c r="E1496" s="2">
        <v>1</v>
      </c>
      <c r="F1496" s="2">
        <v>1</v>
      </c>
      <c r="G1496" s="2">
        <v>1</v>
      </c>
      <c r="H1496" s="2">
        <v>1</v>
      </c>
    </row>
    <row r="1497" spans="1:8" x14ac:dyDescent="0.25">
      <c r="A1497" s="1" t="str">
        <f>"19009"</f>
        <v>19009</v>
      </c>
      <c r="B1497" s="1" t="str">
        <f>"33874"</f>
        <v>33874</v>
      </c>
      <c r="C1497" s="1" t="str">
        <f>"BRYN ATHYN"</f>
        <v>BRYN ATHYN</v>
      </c>
      <c r="D1497" s="1" t="str">
        <f>"PA"</f>
        <v>PA</v>
      </c>
      <c r="E1497" s="2">
        <v>1</v>
      </c>
      <c r="F1497" s="2">
        <v>1</v>
      </c>
      <c r="G1497" s="2">
        <v>1</v>
      </c>
      <c r="H1497" s="2">
        <v>1</v>
      </c>
    </row>
    <row r="1498" spans="1:8" x14ac:dyDescent="0.25">
      <c r="A1498" s="1" t="str">
        <f>"20091"</f>
        <v>20091</v>
      </c>
      <c r="B1498" s="1" t="str">
        <f>"47894"</f>
        <v>47894</v>
      </c>
      <c r="C1498" s="1" t="str">
        <f>"WASHINGTON"</f>
        <v>WASHINGTON</v>
      </c>
      <c r="D1498" s="1" t="str">
        <f>"DC"</f>
        <v>DC</v>
      </c>
      <c r="E1498" s="2">
        <v>1</v>
      </c>
      <c r="F1498" s="2">
        <v>1</v>
      </c>
      <c r="G1498" s="2">
        <v>1</v>
      </c>
      <c r="H1498" s="2">
        <v>1</v>
      </c>
    </row>
    <row r="1499" spans="1:8" x14ac:dyDescent="0.25">
      <c r="A1499" s="1" t="str">
        <f>"20529"</f>
        <v>20529</v>
      </c>
      <c r="B1499" s="1" t="str">
        <f>"47894"</f>
        <v>47894</v>
      </c>
      <c r="C1499" s="1" t="str">
        <f>"WASHINGTON"</f>
        <v>WASHINGTON</v>
      </c>
      <c r="D1499" s="1" t="str">
        <f>"DC"</f>
        <v>DC</v>
      </c>
      <c r="E1499" s="2">
        <v>0</v>
      </c>
      <c r="F1499" s="2">
        <v>1</v>
      </c>
      <c r="G1499" s="2">
        <v>1</v>
      </c>
      <c r="H1499" s="2">
        <v>1</v>
      </c>
    </row>
    <row r="1500" spans="1:8" x14ac:dyDescent="0.25">
      <c r="A1500" s="1" t="str">
        <f>"21930"</f>
        <v>21930</v>
      </c>
      <c r="B1500" s="1" t="str">
        <f>"48864"</f>
        <v>48864</v>
      </c>
      <c r="C1500" s="1" t="str">
        <f>"GEORGETOWN"</f>
        <v>GEORGETOWN</v>
      </c>
      <c r="D1500" s="1" t="str">
        <f>"MD"</f>
        <v>MD</v>
      </c>
      <c r="E1500" s="2">
        <v>1</v>
      </c>
      <c r="F1500" s="2">
        <v>1</v>
      </c>
      <c r="G1500" s="2">
        <v>0</v>
      </c>
      <c r="H1500" s="2">
        <v>1</v>
      </c>
    </row>
    <row r="1501" spans="1:8" x14ac:dyDescent="0.25">
      <c r="A1501" s="1" t="str">
        <f>"48231"</f>
        <v>48231</v>
      </c>
      <c r="B1501" s="1" t="str">
        <f>"19804"</f>
        <v>19804</v>
      </c>
      <c r="C1501" s="1" t="str">
        <f>"DETROIT"</f>
        <v>DETROIT</v>
      </c>
      <c r="D1501" s="1" t="str">
        <f>"MI"</f>
        <v>MI</v>
      </c>
      <c r="E1501" s="2">
        <v>1</v>
      </c>
      <c r="F1501" s="2">
        <v>1</v>
      </c>
      <c r="G1501" s="2">
        <v>1</v>
      </c>
      <c r="H1501" s="2">
        <v>1</v>
      </c>
    </row>
    <row r="1502" spans="1:8" x14ac:dyDescent="0.25">
      <c r="A1502" s="1" t="str">
        <f>"98164"</f>
        <v>98164</v>
      </c>
      <c r="B1502" s="1" t="str">
        <f>"42644"</f>
        <v>42644</v>
      </c>
      <c r="C1502" s="1" t="str">
        <f>"SEATTLE"</f>
        <v>SEATTLE</v>
      </c>
      <c r="D1502" s="1" t="str">
        <f>"WA"</f>
        <v>WA</v>
      </c>
      <c r="E1502" s="2">
        <v>1</v>
      </c>
      <c r="F1502" s="2">
        <v>1</v>
      </c>
      <c r="G1502" s="2">
        <v>1</v>
      </c>
      <c r="H1502" s="2">
        <v>1</v>
      </c>
    </row>
    <row r="1503" spans="1:8" x14ac:dyDescent="0.25">
      <c r="A1503" s="1" t="str">
        <f>"94937"</f>
        <v>94937</v>
      </c>
      <c r="B1503" s="1" t="str">
        <f>"42034"</f>
        <v>42034</v>
      </c>
      <c r="C1503" s="1" t="str">
        <f>"INVERNESS"</f>
        <v>INVERNESS</v>
      </c>
      <c r="D1503" s="1" t="str">
        <f>"CA"</f>
        <v>CA</v>
      </c>
      <c r="E1503" s="2">
        <v>1</v>
      </c>
      <c r="F1503" s="2">
        <v>1</v>
      </c>
      <c r="G1503" s="2">
        <v>1</v>
      </c>
      <c r="H1503" s="2">
        <v>1</v>
      </c>
    </row>
    <row r="1504" spans="1:8" x14ac:dyDescent="0.25">
      <c r="A1504" s="1" t="str">
        <f>"07938"</f>
        <v>07938</v>
      </c>
      <c r="B1504" s="1" t="str">
        <f>"35154"</f>
        <v>35154</v>
      </c>
      <c r="C1504" s="1" t="str">
        <f>"LIBERTY CORNER"</f>
        <v>LIBERTY CORNER</v>
      </c>
      <c r="D1504" s="1" t="str">
        <f>"NJ"</f>
        <v>NJ</v>
      </c>
      <c r="E1504" s="2">
        <v>0</v>
      </c>
      <c r="F1504" s="2">
        <v>1</v>
      </c>
      <c r="G1504" s="2">
        <v>1</v>
      </c>
      <c r="H1504" s="2">
        <v>1</v>
      </c>
    </row>
    <row r="1505" spans="1:8" x14ac:dyDescent="0.25">
      <c r="A1505" s="1" t="str">
        <f>"91046"</f>
        <v>91046</v>
      </c>
      <c r="B1505" s="1" t="str">
        <f>"31084"</f>
        <v>31084</v>
      </c>
      <c r="C1505" s="1" t="str">
        <f>"VERDUGO CITY"</f>
        <v>VERDUGO CITY</v>
      </c>
      <c r="D1505" s="1" t="str">
        <f>"CA"</f>
        <v>CA</v>
      </c>
      <c r="E1505" s="2">
        <v>1</v>
      </c>
      <c r="F1505" s="2">
        <v>1</v>
      </c>
      <c r="G1505" s="2">
        <v>1</v>
      </c>
      <c r="H1505" s="2">
        <v>1</v>
      </c>
    </row>
    <row r="1506" spans="1:8" x14ac:dyDescent="0.25">
      <c r="A1506" s="1" t="str">
        <f>"11242"</f>
        <v>11242</v>
      </c>
      <c r="B1506" s="1" t="str">
        <f>"35614"</f>
        <v>35614</v>
      </c>
      <c r="C1506" s="1" t="str">
        <f>"BROOKLYN"</f>
        <v>BROOKLYN</v>
      </c>
      <c r="D1506" s="1" t="str">
        <f>"NY"</f>
        <v>NY</v>
      </c>
      <c r="E1506" s="2">
        <v>0</v>
      </c>
      <c r="F1506" s="2">
        <v>1</v>
      </c>
      <c r="G1506" s="2">
        <v>1</v>
      </c>
      <c r="H1506" s="2">
        <v>1</v>
      </c>
    </row>
    <row r="1507" spans="1:8" x14ac:dyDescent="0.25">
      <c r="A1507" s="1" t="str">
        <f>"22038"</f>
        <v>22038</v>
      </c>
      <c r="B1507" s="1" t="str">
        <f>"47894"</f>
        <v>47894</v>
      </c>
      <c r="C1507" s="1" t="str">
        <f>"FAIRFAX"</f>
        <v>FAIRFAX</v>
      </c>
      <c r="D1507" s="1" t="str">
        <f>"VA"</f>
        <v>VA</v>
      </c>
      <c r="E1507" s="2">
        <v>1</v>
      </c>
      <c r="F1507" s="2">
        <v>1</v>
      </c>
      <c r="G1507" s="2">
        <v>1</v>
      </c>
      <c r="H1507" s="2">
        <v>1</v>
      </c>
    </row>
    <row r="1508" spans="1:8" x14ac:dyDescent="0.25">
      <c r="A1508" s="1" t="str">
        <f>"76458"</f>
        <v>76458</v>
      </c>
      <c r="B1508" s="1" t="str">
        <f>"23104"</f>
        <v>23104</v>
      </c>
      <c r="C1508" s="1" t="str">
        <f>"JACKSBORO"</f>
        <v>JACKSBORO</v>
      </c>
      <c r="D1508" s="1" t="str">
        <f>"TX"</f>
        <v>TX</v>
      </c>
      <c r="E1508" s="2">
        <v>1</v>
      </c>
      <c r="F1508" s="2">
        <v>1</v>
      </c>
      <c r="G1508" s="2">
        <v>0</v>
      </c>
      <c r="H1508" s="2">
        <v>1</v>
      </c>
    </row>
    <row r="1509" spans="1:8" x14ac:dyDescent="0.25">
      <c r="A1509" s="1" t="str">
        <f>"19472"</f>
        <v>19472</v>
      </c>
      <c r="B1509" s="1" t="str">
        <f>"33874"</f>
        <v>33874</v>
      </c>
      <c r="C1509" s="1" t="str">
        <f>"SASSAMANSVILLE"</f>
        <v>SASSAMANSVILLE</v>
      </c>
      <c r="D1509" s="1" t="str">
        <f>"PA"</f>
        <v>PA</v>
      </c>
      <c r="E1509" s="2">
        <v>0</v>
      </c>
      <c r="F1509" s="2">
        <v>1</v>
      </c>
      <c r="G1509" s="2">
        <v>0</v>
      </c>
      <c r="H1509" s="2">
        <v>1</v>
      </c>
    </row>
    <row r="1510" spans="1:8" x14ac:dyDescent="0.25">
      <c r="A1510" s="1" t="str">
        <f>"20741"</f>
        <v>20741</v>
      </c>
      <c r="B1510" s="1" t="str">
        <f>"47894"</f>
        <v>47894</v>
      </c>
      <c r="C1510" s="1" t="str">
        <f>"COLLEGE PARK"</f>
        <v>COLLEGE PARK</v>
      </c>
      <c r="D1510" s="1" t="str">
        <f>"MD"</f>
        <v>MD</v>
      </c>
      <c r="E1510" s="2">
        <v>1</v>
      </c>
      <c r="F1510" s="2">
        <v>1</v>
      </c>
      <c r="G1510" s="2">
        <v>1</v>
      </c>
      <c r="H1510" s="2">
        <v>1</v>
      </c>
    </row>
    <row r="1511" spans="1:8" x14ac:dyDescent="0.25">
      <c r="A1511" s="1" t="str">
        <f>"01885"</f>
        <v>01885</v>
      </c>
      <c r="B1511" s="1" t="str">
        <f>"15764"</f>
        <v>15764</v>
      </c>
      <c r="C1511" s="1" t="str">
        <f>"WEST BOXFORD"</f>
        <v>WEST BOXFORD</v>
      </c>
      <c r="D1511" s="1" t="str">
        <f>"MA"</f>
        <v>MA</v>
      </c>
      <c r="E1511" s="2">
        <v>0</v>
      </c>
      <c r="F1511" s="2">
        <v>0</v>
      </c>
      <c r="G1511" s="2">
        <v>1</v>
      </c>
      <c r="H1511" s="2">
        <v>1</v>
      </c>
    </row>
    <row r="1512" spans="1:8" x14ac:dyDescent="0.25">
      <c r="A1512" s="1" t="str">
        <f>"19407"</f>
        <v>19407</v>
      </c>
      <c r="B1512" s="1" t="str">
        <f>"33874"</f>
        <v>33874</v>
      </c>
      <c r="C1512" s="1" t="str">
        <f>"AUDUBON"</f>
        <v>AUDUBON</v>
      </c>
      <c r="D1512" s="1" t="str">
        <f>"PA"</f>
        <v>PA</v>
      </c>
      <c r="E1512" s="2">
        <v>1</v>
      </c>
      <c r="F1512" s="2">
        <v>1</v>
      </c>
      <c r="G1512" s="2">
        <v>1</v>
      </c>
      <c r="H1512" s="2">
        <v>1</v>
      </c>
    </row>
    <row r="1513" spans="1:8" x14ac:dyDescent="0.25">
      <c r="A1513" s="1" t="str">
        <f>"20038"</f>
        <v>20038</v>
      </c>
      <c r="B1513" s="1" t="str">
        <f>"47894"</f>
        <v>47894</v>
      </c>
      <c r="C1513" s="1" t="str">
        <f>"WASHINGTON"</f>
        <v>WASHINGTON</v>
      </c>
      <c r="D1513" s="1" t="str">
        <f>"DC"</f>
        <v>DC</v>
      </c>
      <c r="E1513" s="2">
        <v>1</v>
      </c>
      <c r="F1513" s="2">
        <v>1</v>
      </c>
      <c r="G1513" s="2">
        <v>1</v>
      </c>
      <c r="H1513" s="2">
        <v>1</v>
      </c>
    </row>
    <row r="1514" spans="1:8" x14ac:dyDescent="0.25">
      <c r="A1514" s="1" t="str">
        <f>"25432"</f>
        <v>25432</v>
      </c>
      <c r="B1514" s="1" t="str">
        <f>"47894"</f>
        <v>47894</v>
      </c>
      <c r="C1514" s="1" t="str">
        <f>"MILLVILLE"</f>
        <v>MILLVILLE</v>
      </c>
      <c r="D1514" s="1" t="str">
        <f>"WV"</f>
        <v>WV</v>
      </c>
      <c r="E1514" s="2">
        <v>1</v>
      </c>
      <c r="F1514" s="2">
        <v>1</v>
      </c>
      <c r="G1514" s="2">
        <v>1</v>
      </c>
      <c r="H1514" s="2">
        <v>1</v>
      </c>
    </row>
    <row r="1515" spans="1:8" x14ac:dyDescent="0.25">
      <c r="A1515" s="1" t="str">
        <f>"92650"</f>
        <v>92650</v>
      </c>
      <c r="B1515" s="1" t="str">
        <f>"11244"</f>
        <v>11244</v>
      </c>
      <c r="C1515" s="1" t="str">
        <f>"EAST IRVINE"</f>
        <v>EAST IRVINE</v>
      </c>
      <c r="D1515" s="1" t="str">
        <f>"CA"</f>
        <v>CA</v>
      </c>
      <c r="E1515" s="2">
        <v>1</v>
      </c>
      <c r="F1515" s="2">
        <v>1</v>
      </c>
      <c r="G1515" s="2">
        <v>1</v>
      </c>
      <c r="H1515" s="2">
        <v>1</v>
      </c>
    </row>
    <row r="1516" spans="1:8" x14ac:dyDescent="0.25">
      <c r="A1516" s="1" t="str">
        <f>"90310"</f>
        <v>90310</v>
      </c>
      <c r="B1516" s="1" t="str">
        <f>"31084"</f>
        <v>31084</v>
      </c>
      <c r="C1516" s="1" t="str">
        <f>"INGLEWOOD"</f>
        <v>INGLEWOOD</v>
      </c>
      <c r="D1516" s="1" t="str">
        <f>"CA"</f>
        <v>CA</v>
      </c>
      <c r="E1516" s="2">
        <v>1</v>
      </c>
      <c r="F1516" s="2">
        <v>1</v>
      </c>
      <c r="G1516" s="2">
        <v>1</v>
      </c>
      <c r="H1516" s="2">
        <v>1</v>
      </c>
    </row>
    <row r="1517" spans="1:8" x14ac:dyDescent="0.25">
      <c r="A1517" s="1" t="str">
        <f>"20777"</f>
        <v>20777</v>
      </c>
      <c r="B1517" s="1" t="str">
        <f>"23224"</f>
        <v>23224</v>
      </c>
      <c r="C1517" s="1" t="str">
        <f>"HIGHLAND"</f>
        <v>HIGHLAND</v>
      </c>
      <c r="D1517" s="1" t="str">
        <f>"MD"</f>
        <v>MD</v>
      </c>
      <c r="E1517" s="2">
        <v>1</v>
      </c>
      <c r="F1517" s="2">
        <v>1</v>
      </c>
      <c r="G1517" s="2">
        <v>0</v>
      </c>
      <c r="H1517" s="2">
        <v>1</v>
      </c>
    </row>
    <row r="1518" spans="1:8" x14ac:dyDescent="0.25">
      <c r="A1518" s="1" t="str">
        <f>"94666"</f>
        <v>94666</v>
      </c>
      <c r="B1518" s="1" t="str">
        <f>"36084"</f>
        <v>36084</v>
      </c>
      <c r="C1518" s="1" t="str">
        <f>"OAKLAND"</f>
        <v>OAKLAND</v>
      </c>
      <c r="D1518" s="1" t="str">
        <f>"CA"</f>
        <v>CA</v>
      </c>
      <c r="E1518" s="2">
        <v>0</v>
      </c>
      <c r="F1518" s="2">
        <v>1</v>
      </c>
      <c r="G1518" s="2">
        <v>0</v>
      </c>
      <c r="H1518" s="2">
        <v>1</v>
      </c>
    </row>
    <row r="1519" spans="1:8" x14ac:dyDescent="0.25">
      <c r="A1519" s="1" t="str">
        <f>"19892"</f>
        <v>19892</v>
      </c>
      <c r="B1519" s="1" t="str">
        <f>"48864"</f>
        <v>48864</v>
      </c>
      <c r="C1519" s="1" t="str">
        <f>"WILMINGTON"</f>
        <v>WILMINGTON</v>
      </c>
      <c r="D1519" s="1" t="str">
        <f>"DE"</f>
        <v>DE</v>
      </c>
      <c r="E1519" s="2">
        <v>0</v>
      </c>
      <c r="F1519" s="2">
        <v>1</v>
      </c>
      <c r="G1519" s="2">
        <v>0</v>
      </c>
      <c r="H1519" s="2">
        <v>1</v>
      </c>
    </row>
    <row r="1520" spans="1:8" x14ac:dyDescent="0.25">
      <c r="A1520" s="1" t="str">
        <f>"12524"</f>
        <v>12524</v>
      </c>
      <c r="B1520" s="1" t="str">
        <f>"35614"</f>
        <v>35614</v>
      </c>
      <c r="C1520" s="1" t="str">
        <f>"FISHKILL"</f>
        <v>FISHKILL</v>
      </c>
      <c r="D1520" s="1" t="str">
        <f>"NY"</f>
        <v>NY</v>
      </c>
      <c r="E1520" s="2">
        <v>1</v>
      </c>
      <c r="F1520" s="2">
        <v>1</v>
      </c>
      <c r="G1520" s="2">
        <v>0</v>
      </c>
      <c r="H1520" s="2">
        <v>1</v>
      </c>
    </row>
    <row r="1521" spans="1:8" x14ac:dyDescent="0.25">
      <c r="A1521" s="1" t="str">
        <f>"22081"</f>
        <v>22081</v>
      </c>
      <c r="B1521" s="1" t="str">
        <f>"47894"</f>
        <v>47894</v>
      </c>
      <c r="C1521" s="1" t="str">
        <f>"MERRIFIELD"</f>
        <v>MERRIFIELD</v>
      </c>
      <c r="D1521" s="1" t="str">
        <f>"VA"</f>
        <v>VA</v>
      </c>
      <c r="E1521" s="2">
        <v>0</v>
      </c>
      <c r="F1521" s="2">
        <v>1</v>
      </c>
      <c r="G1521" s="2">
        <v>1</v>
      </c>
      <c r="H1521" s="2">
        <v>1</v>
      </c>
    </row>
    <row r="1522" spans="1:8" x14ac:dyDescent="0.25">
      <c r="A1522" s="1" t="str">
        <f>"20042"</f>
        <v>20042</v>
      </c>
      <c r="B1522" s="1" t="str">
        <f>"47894"</f>
        <v>47894</v>
      </c>
      <c r="C1522" s="1" t="str">
        <f>"WASHINGTON"</f>
        <v>WASHINGTON</v>
      </c>
      <c r="D1522" s="1" t="str">
        <f>"DC"</f>
        <v>DC</v>
      </c>
      <c r="E1522" s="2">
        <v>0</v>
      </c>
      <c r="F1522" s="2">
        <v>1</v>
      </c>
      <c r="G1522" s="2">
        <v>0</v>
      </c>
      <c r="H1522" s="2">
        <v>1</v>
      </c>
    </row>
    <row r="1523" spans="1:8" x14ac:dyDescent="0.25">
      <c r="A1523" s="1" t="str">
        <f>"90743"</f>
        <v>90743</v>
      </c>
      <c r="B1523" s="1" t="str">
        <f>"11244"</f>
        <v>11244</v>
      </c>
      <c r="C1523" s="1" t="str">
        <f>"SURFSIDE"</f>
        <v>SURFSIDE</v>
      </c>
      <c r="D1523" s="1" t="str">
        <f>"CA"</f>
        <v>CA</v>
      </c>
      <c r="E1523" s="2">
        <v>0</v>
      </c>
      <c r="F1523" s="2">
        <v>0</v>
      </c>
      <c r="G1523" s="2">
        <v>1</v>
      </c>
      <c r="H1523" s="2">
        <v>1</v>
      </c>
    </row>
    <row r="1524" spans="1:8" x14ac:dyDescent="0.25">
      <c r="A1524" s="1" t="str">
        <f>"60470"</f>
        <v>60470</v>
      </c>
      <c r="B1524" s="1" t="str">
        <f>"16984"</f>
        <v>16984</v>
      </c>
      <c r="C1524" s="1" t="str">
        <f>"RANSOM"</f>
        <v>RANSOM</v>
      </c>
      <c r="D1524" s="1" t="str">
        <f>"IL"</f>
        <v>IL</v>
      </c>
      <c r="E1524" s="2">
        <v>1</v>
      </c>
      <c r="F1524" s="2">
        <v>0</v>
      </c>
      <c r="G1524" s="2">
        <v>0</v>
      </c>
      <c r="H1524" s="2">
        <v>1</v>
      </c>
    </row>
    <row r="1525" spans="1:8" x14ac:dyDescent="0.25">
      <c r="A1525" s="1" t="str">
        <f>"18457"</f>
        <v>18457</v>
      </c>
      <c r="B1525" s="1" t="str">
        <f>"35084"</f>
        <v>35084</v>
      </c>
      <c r="C1525" s="1" t="str">
        <f>"ROWLAND"</f>
        <v>ROWLAND</v>
      </c>
      <c r="D1525" s="1" t="str">
        <f>"PA"</f>
        <v>PA</v>
      </c>
      <c r="E1525" s="2">
        <v>1</v>
      </c>
      <c r="F1525" s="2">
        <v>1</v>
      </c>
      <c r="G1525" s="2">
        <v>0</v>
      </c>
      <c r="H1525" s="2">
        <v>1</v>
      </c>
    </row>
    <row r="1526" spans="1:8" x14ac:dyDescent="0.25">
      <c r="A1526" s="1" t="str">
        <f>"20424"</f>
        <v>20424</v>
      </c>
      <c r="B1526" s="1" t="str">
        <f>"47894"</f>
        <v>47894</v>
      </c>
      <c r="C1526" s="1" t="str">
        <f>"WASHINGTON"</f>
        <v>WASHINGTON</v>
      </c>
      <c r="D1526" s="1" t="str">
        <f>"DC"</f>
        <v>DC</v>
      </c>
      <c r="E1526" s="2">
        <v>0</v>
      </c>
      <c r="F1526" s="2">
        <v>1</v>
      </c>
      <c r="G1526" s="2">
        <v>1</v>
      </c>
      <c r="H1526" s="2">
        <v>1</v>
      </c>
    </row>
    <row r="1527" spans="1:8" x14ac:dyDescent="0.25">
      <c r="A1527" s="1" t="str">
        <f>"20542"</f>
        <v>20542</v>
      </c>
      <c r="B1527" s="1" t="str">
        <f>"47894"</f>
        <v>47894</v>
      </c>
      <c r="C1527" s="1" t="str">
        <f>"WASHINGTON"</f>
        <v>WASHINGTON</v>
      </c>
      <c r="D1527" s="1" t="str">
        <f>"DC"</f>
        <v>DC</v>
      </c>
      <c r="E1527" s="2">
        <v>0</v>
      </c>
      <c r="F1527" s="2">
        <v>1</v>
      </c>
      <c r="G1527" s="2">
        <v>1</v>
      </c>
      <c r="H1527" s="2">
        <v>1</v>
      </c>
    </row>
    <row r="1528" spans="1:8" x14ac:dyDescent="0.25">
      <c r="A1528" s="1" t="str">
        <f>"19039"</f>
        <v>19039</v>
      </c>
      <c r="B1528" s="1" t="str">
        <f>"37964"</f>
        <v>37964</v>
      </c>
      <c r="C1528" s="1" t="str">
        <f>"GRADYVILLE"</f>
        <v>GRADYVILLE</v>
      </c>
      <c r="D1528" s="1" t="str">
        <f>"PA"</f>
        <v>PA</v>
      </c>
      <c r="E1528" s="2">
        <v>0</v>
      </c>
      <c r="F1528" s="2">
        <v>1</v>
      </c>
      <c r="G1528" s="2">
        <v>0</v>
      </c>
      <c r="H1528" s="2">
        <v>1</v>
      </c>
    </row>
    <row r="1529" spans="1:8" x14ac:dyDescent="0.25">
      <c r="A1529" s="1" t="str">
        <f>"76623"</f>
        <v>76623</v>
      </c>
      <c r="B1529" s="1" t="str">
        <f>"19124"</f>
        <v>19124</v>
      </c>
      <c r="C1529" s="1" t="str">
        <f>"AVALON"</f>
        <v>AVALON</v>
      </c>
      <c r="D1529" s="1" t="str">
        <f>"TX"</f>
        <v>TX</v>
      </c>
      <c r="E1529" s="2">
        <v>0</v>
      </c>
      <c r="F1529" s="2">
        <v>1</v>
      </c>
      <c r="G1529" s="2">
        <v>0</v>
      </c>
      <c r="H1529" s="2">
        <v>1</v>
      </c>
    </row>
    <row r="1530" spans="1:8" x14ac:dyDescent="0.25">
      <c r="A1530" s="1" t="str">
        <f>"98413"</f>
        <v>98413</v>
      </c>
      <c r="B1530" s="1" t="str">
        <f>"45104"</f>
        <v>45104</v>
      </c>
      <c r="C1530" s="1" t="str">
        <f>"TACOMA"</f>
        <v>TACOMA</v>
      </c>
      <c r="D1530" s="1" t="str">
        <f>"WA"</f>
        <v>WA</v>
      </c>
      <c r="E1530" s="2">
        <v>0</v>
      </c>
      <c r="F1530" s="2">
        <v>1</v>
      </c>
      <c r="G1530" s="2">
        <v>0</v>
      </c>
      <c r="H1530" s="2">
        <v>1</v>
      </c>
    </row>
    <row r="1531" spans="1:8" x14ac:dyDescent="0.25">
      <c r="A1531" s="1" t="str">
        <f>"01450"</f>
        <v>01450</v>
      </c>
      <c r="B1531" s="1" t="str">
        <f>"15764"</f>
        <v>15764</v>
      </c>
      <c r="C1531" s="1" t="str">
        <f>"GROTON"</f>
        <v>GROTON</v>
      </c>
      <c r="D1531" s="1" t="str">
        <f t="shared" ref="D1531:D1537" si="107">"MA"</f>
        <v>MA</v>
      </c>
      <c r="E1531" s="2">
        <v>1</v>
      </c>
      <c r="F1531" s="2">
        <v>1</v>
      </c>
      <c r="G1531" s="2">
        <v>1</v>
      </c>
      <c r="H1531" s="2">
        <v>1</v>
      </c>
    </row>
    <row r="1532" spans="1:8" x14ac:dyDescent="0.25">
      <c r="A1532" s="1" t="str">
        <f>"01880"</f>
        <v>01880</v>
      </c>
      <c r="B1532" s="1" t="str">
        <f>"15764"</f>
        <v>15764</v>
      </c>
      <c r="C1532" s="1" t="str">
        <f>"WAKEFIELD"</f>
        <v>WAKEFIELD</v>
      </c>
      <c r="D1532" s="1" t="str">
        <f t="shared" si="107"/>
        <v>MA</v>
      </c>
      <c r="E1532" s="2">
        <v>1</v>
      </c>
      <c r="F1532" s="2">
        <v>1</v>
      </c>
      <c r="G1532" s="2">
        <v>1</v>
      </c>
      <c r="H1532" s="2">
        <v>1</v>
      </c>
    </row>
    <row r="1533" spans="1:8" x14ac:dyDescent="0.25">
      <c r="A1533" s="1" t="str">
        <f>"01902"</f>
        <v>01902</v>
      </c>
      <c r="B1533" s="1" t="str">
        <f>"15764"</f>
        <v>15764</v>
      </c>
      <c r="C1533" s="1" t="str">
        <f>"LYNN"</f>
        <v>LYNN</v>
      </c>
      <c r="D1533" s="1" t="str">
        <f t="shared" si="107"/>
        <v>MA</v>
      </c>
      <c r="E1533" s="2">
        <v>1</v>
      </c>
      <c r="F1533" s="2">
        <v>1</v>
      </c>
      <c r="G1533" s="2">
        <v>1</v>
      </c>
      <c r="H1533" s="2">
        <v>1</v>
      </c>
    </row>
    <row r="1534" spans="1:8" x14ac:dyDescent="0.25">
      <c r="A1534" s="1" t="str">
        <f>"02025"</f>
        <v>02025</v>
      </c>
      <c r="B1534" s="1" t="str">
        <f>"14454"</f>
        <v>14454</v>
      </c>
      <c r="C1534" s="1" t="str">
        <f>"COHASSET"</f>
        <v>COHASSET</v>
      </c>
      <c r="D1534" s="1" t="str">
        <f t="shared" si="107"/>
        <v>MA</v>
      </c>
      <c r="E1534" s="2">
        <v>1</v>
      </c>
      <c r="F1534" s="2">
        <v>1</v>
      </c>
      <c r="G1534" s="2">
        <v>1</v>
      </c>
      <c r="H1534" s="2">
        <v>1</v>
      </c>
    </row>
    <row r="1535" spans="1:8" x14ac:dyDescent="0.25">
      <c r="A1535" s="1" t="str">
        <f>"01982"</f>
        <v>01982</v>
      </c>
      <c r="B1535" s="1" t="str">
        <f>"15764"</f>
        <v>15764</v>
      </c>
      <c r="C1535" s="1" t="str">
        <f>"SOUTH HAMILTON"</f>
        <v>SOUTH HAMILTON</v>
      </c>
      <c r="D1535" s="1" t="str">
        <f t="shared" si="107"/>
        <v>MA</v>
      </c>
      <c r="E1535" s="2">
        <v>1</v>
      </c>
      <c r="F1535" s="2">
        <v>1</v>
      </c>
      <c r="G1535" s="2">
        <v>1</v>
      </c>
      <c r="H1535" s="2">
        <v>1</v>
      </c>
    </row>
    <row r="1536" spans="1:8" x14ac:dyDescent="0.25">
      <c r="A1536" s="1" t="str">
        <f>"02111"</f>
        <v>02111</v>
      </c>
      <c r="B1536" s="1" t="str">
        <f>"14454"</f>
        <v>14454</v>
      </c>
      <c r="C1536" s="1" t="str">
        <f>"BOSTON"</f>
        <v>BOSTON</v>
      </c>
      <c r="D1536" s="1" t="str">
        <f t="shared" si="107"/>
        <v>MA</v>
      </c>
      <c r="E1536" s="2">
        <v>1</v>
      </c>
      <c r="F1536" s="2">
        <v>1</v>
      </c>
      <c r="G1536" s="2">
        <v>1</v>
      </c>
      <c r="H1536" s="2">
        <v>1</v>
      </c>
    </row>
    <row r="1537" spans="1:8" x14ac:dyDescent="0.25">
      <c r="A1537" s="1" t="str">
        <f>"02180"</f>
        <v>02180</v>
      </c>
      <c r="B1537" s="1" t="str">
        <f>"15764"</f>
        <v>15764</v>
      </c>
      <c r="C1537" s="1" t="str">
        <f>"STONEHAM"</f>
        <v>STONEHAM</v>
      </c>
      <c r="D1537" s="1" t="str">
        <f t="shared" si="107"/>
        <v>MA</v>
      </c>
      <c r="E1537" s="2">
        <v>1</v>
      </c>
      <c r="F1537" s="2">
        <v>1</v>
      </c>
      <c r="G1537" s="2">
        <v>1</v>
      </c>
      <c r="H1537" s="2">
        <v>1</v>
      </c>
    </row>
    <row r="1538" spans="1:8" x14ac:dyDescent="0.25">
      <c r="A1538" s="1" t="str">
        <f>"07039"</f>
        <v>07039</v>
      </c>
      <c r="B1538" s="1" t="str">
        <f>"35084"</f>
        <v>35084</v>
      </c>
      <c r="C1538" s="1" t="str">
        <f>"LIVINGSTON"</f>
        <v>LIVINGSTON</v>
      </c>
      <c r="D1538" s="1" t="str">
        <f t="shared" ref="D1538:D1552" si="108">"NJ"</f>
        <v>NJ</v>
      </c>
      <c r="E1538" s="2">
        <v>1</v>
      </c>
      <c r="F1538" s="2">
        <v>1</v>
      </c>
      <c r="G1538" s="2">
        <v>1</v>
      </c>
      <c r="H1538" s="2">
        <v>1</v>
      </c>
    </row>
    <row r="1539" spans="1:8" x14ac:dyDescent="0.25">
      <c r="A1539" s="1" t="str">
        <f>"07055"</f>
        <v>07055</v>
      </c>
      <c r="B1539" s="1" t="str">
        <f>"35614"</f>
        <v>35614</v>
      </c>
      <c r="C1539" s="1" t="str">
        <f>"PASSAIC"</f>
        <v>PASSAIC</v>
      </c>
      <c r="D1539" s="1" t="str">
        <f t="shared" si="108"/>
        <v>NJ</v>
      </c>
      <c r="E1539" s="2">
        <v>1</v>
      </c>
      <c r="F1539" s="2">
        <v>1</v>
      </c>
      <c r="G1539" s="2">
        <v>1</v>
      </c>
      <c r="H1539" s="2">
        <v>1</v>
      </c>
    </row>
    <row r="1540" spans="1:8" x14ac:dyDescent="0.25">
      <c r="A1540" s="1" t="str">
        <f>"07501"</f>
        <v>07501</v>
      </c>
      <c r="B1540" s="1" t="str">
        <f>"35614"</f>
        <v>35614</v>
      </c>
      <c r="C1540" s="1" t="str">
        <f>"PATERSON"</f>
        <v>PATERSON</v>
      </c>
      <c r="D1540" s="1" t="str">
        <f t="shared" si="108"/>
        <v>NJ</v>
      </c>
      <c r="E1540" s="2">
        <v>1</v>
      </c>
      <c r="F1540" s="2">
        <v>1</v>
      </c>
      <c r="G1540" s="2">
        <v>1</v>
      </c>
      <c r="H1540" s="2">
        <v>1</v>
      </c>
    </row>
    <row r="1541" spans="1:8" x14ac:dyDescent="0.25">
      <c r="A1541" s="1" t="str">
        <f>"07522"</f>
        <v>07522</v>
      </c>
      <c r="B1541" s="1" t="str">
        <f>"35614"</f>
        <v>35614</v>
      </c>
      <c r="C1541" s="1" t="str">
        <f>"PATERSON"</f>
        <v>PATERSON</v>
      </c>
      <c r="D1541" s="1" t="str">
        <f t="shared" si="108"/>
        <v>NJ</v>
      </c>
      <c r="E1541" s="2">
        <v>1</v>
      </c>
      <c r="F1541" s="2">
        <v>1</v>
      </c>
      <c r="G1541" s="2">
        <v>1</v>
      </c>
      <c r="H1541" s="2">
        <v>1</v>
      </c>
    </row>
    <row r="1542" spans="1:8" x14ac:dyDescent="0.25">
      <c r="A1542" s="1" t="str">
        <f>"07650"</f>
        <v>07650</v>
      </c>
      <c r="B1542" s="1" t="str">
        <f>"35614"</f>
        <v>35614</v>
      </c>
      <c r="C1542" s="1" t="str">
        <f>"PALISADES PARK"</f>
        <v>PALISADES PARK</v>
      </c>
      <c r="D1542" s="1" t="str">
        <f t="shared" si="108"/>
        <v>NJ</v>
      </c>
      <c r="E1542" s="2">
        <v>1</v>
      </c>
      <c r="F1542" s="2">
        <v>1</v>
      </c>
      <c r="G1542" s="2">
        <v>1</v>
      </c>
      <c r="H1542" s="2">
        <v>1</v>
      </c>
    </row>
    <row r="1543" spans="1:8" x14ac:dyDescent="0.25">
      <c r="A1543" s="1" t="str">
        <f>"07626"</f>
        <v>07626</v>
      </c>
      <c r="B1543" s="1" t="str">
        <f>"35614"</f>
        <v>35614</v>
      </c>
      <c r="C1543" s="1" t="str">
        <f>"CRESSKILL"</f>
        <v>CRESSKILL</v>
      </c>
      <c r="D1543" s="1" t="str">
        <f t="shared" si="108"/>
        <v>NJ</v>
      </c>
      <c r="E1543" s="2">
        <v>1</v>
      </c>
      <c r="F1543" s="2">
        <v>1</v>
      </c>
      <c r="G1543" s="2">
        <v>1</v>
      </c>
      <c r="H1543" s="2">
        <v>1</v>
      </c>
    </row>
    <row r="1544" spans="1:8" x14ac:dyDescent="0.25">
      <c r="A1544" s="1" t="str">
        <f>"07701"</f>
        <v>07701</v>
      </c>
      <c r="B1544" s="1" t="str">
        <f>"35154"</f>
        <v>35154</v>
      </c>
      <c r="C1544" s="1" t="str">
        <f>"RED BANK"</f>
        <v>RED BANK</v>
      </c>
      <c r="D1544" s="1" t="str">
        <f t="shared" si="108"/>
        <v>NJ</v>
      </c>
      <c r="E1544" s="2">
        <v>1</v>
      </c>
      <c r="F1544" s="2">
        <v>1</v>
      </c>
      <c r="G1544" s="2">
        <v>1</v>
      </c>
      <c r="H1544" s="2">
        <v>1</v>
      </c>
    </row>
    <row r="1545" spans="1:8" x14ac:dyDescent="0.25">
      <c r="A1545" s="1" t="str">
        <f>"07731"</f>
        <v>07731</v>
      </c>
      <c r="B1545" s="1" t="str">
        <f>"35154"</f>
        <v>35154</v>
      </c>
      <c r="C1545" s="1" t="str">
        <f>"HOWELL"</f>
        <v>HOWELL</v>
      </c>
      <c r="D1545" s="1" t="str">
        <f t="shared" si="108"/>
        <v>NJ</v>
      </c>
      <c r="E1545" s="2">
        <v>1</v>
      </c>
      <c r="F1545" s="2">
        <v>1</v>
      </c>
      <c r="G1545" s="2">
        <v>1</v>
      </c>
      <c r="H1545" s="2">
        <v>1</v>
      </c>
    </row>
    <row r="1546" spans="1:8" x14ac:dyDescent="0.25">
      <c r="A1546" s="1" t="str">
        <f>"07860"</f>
        <v>07860</v>
      </c>
      <c r="B1546" s="1" t="str">
        <f>"35084"</f>
        <v>35084</v>
      </c>
      <c r="C1546" s="1" t="str">
        <f>"NEWTON"</f>
        <v>NEWTON</v>
      </c>
      <c r="D1546" s="1" t="str">
        <f t="shared" si="108"/>
        <v>NJ</v>
      </c>
      <c r="E1546" s="2">
        <v>1</v>
      </c>
      <c r="F1546" s="2">
        <v>1</v>
      </c>
      <c r="G1546" s="2">
        <v>1</v>
      </c>
      <c r="H1546" s="2">
        <v>1</v>
      </c>
    </row>
    <row r="1547" spans="1:8" x14ac:dyDescent="0.25">
      <c r="A1547" s="1" t="str">
        <f>"08107"</f>
        <v>08107</v>
      </c>
      <c r="B1547" s="1" t="str">
        <f>"15804"</f>
        <v>15804</v>
      </c>
      <c r="C1547" s="1" t="str">
        <f>"OAKLYN"</f>
        <v>OAKLYN</v>
      </c>
      <c r="D1547" s="1" t="str">
        <f t="shared" si="108"/>
        <v>NJ</v>
      </c>
      <c r="E1547" s="2">
        <v>1</v>
      </c>
      <c r="F1547" s="2">
        <v>1</v>
      </c>
      <c r="G1547" s="2">
        <v>1</v>
      </c>
      <c r="H1547" s="2">
        <v>1</v>
      </c>
    </row>
    <row r="1548" spans="1:8" x14ac:dyDescent="0.25">
      <c r="A1548" s="1" t="str">
        <f>"08502"</f>
        <v>08502</v>
      </c>
      <c r="B1548" s="1" t="str">
        <f>"35154"</f>
        <v>35154</v>
      </c>
      <c r="C1548" s="1" t="str">
        <f>"BELLE MEAD"</f>
        <v>BELLE MEAD</v>
      </c>
      <c r="D1548" s="1" t="str">
        <f t="shared" si="108"/>
        <v>NJ</v>
      </c>
      <c r="E1548" s="2">
        <v>1</v>
      </c>
      <c r="F1548" s="2">
        <v>1</v>
      </c>
      <c r="G1548" s="2">
        <v>1</v>
      </c>
      <c r="H1548" s="2">
        <v>1</v>
      </c>
    </row>
    <row r="1549" spans="1:8" x14ac:dyDescent="0.25">
      <c r="A1549" s="1" t="str">
        <f>"08807"</f>
        <v>08807</v>
      </c>
      <c r="B1549" s="1" t="str">
        <f>"35154"</f>
        <v>35154</v>
      </c>
      <c r="C1549" s="1" t="str">
        <f>"BRIDGEWATER"</f>
        <v>BRIDGEWATER</v>
      </c>
      <c r="D1549" s="1" t="str">
        <f t="shared" si="108"/>
        <v>NJ</v>
      </c>
      <c r="E1549" s="2">
        <v>1</v>
      </c>
      <c r="F1549" s="2">
        <v>1</v>
      </c>
      <c r="G1549" s="2">
        <v>1</v>
      </c>
      <c r="H1549" s="2">
        <v>1</v>
      </c>
    </row>
    <row r="1550" spans="1:8" x14ac:dyDescent="0.25">
      <c r="A1550" s="1" t="str">
        <f>"08836"</f>
        <v>08836</v>
      </c>
      <c r="B1550" s="1" t="str">
        <f>"35154"</f>
        <v>35154</v>
      </c>
      <c r="C1550" s="1" t="str">
        <f>"MARTINSVILLE"</f>
        <v>MARTINSVILLE</v>
      </c>
      <c r="D1550" s="1" t="str">
        <f t="shared" si="108"/>
        <v>NJ</v>
      </c>
      <c r="E1550" s="2">
        <v>1</v>
      </c>
      <c r="F1550" s="2">
        <v>1</v>
      </c>
      <c r="G1550" s="2">
        <v>1</v>
      </c>
      <c r="H1550" s="2">
        <v>1</v>
      </c>
    </row>
    <row r="1551" spans="1:8" x14ac:dyDescent="0.25">
      <c r="A1551" s="1" t="str">
        <f>"08863"</f>
        <v>08863</v>
      </c>
      <c r="B1551" s="1" t="str">
        <f>"35154"</f>
        <v>35154</v>
      </c>
      <c r="C1551" s="1" t="str">
        <f>"FORDS"</f>
        <v>FORDS</v>
      </c>
      <c r="D1551" s="1" t="str">
        <f t="shared" si="108"/>
        <v>NJ</v>
      </c>
      <c r="E1551" s="2">
        <v>1</v>
      </c>
      <c r="F1551" s="2">
        <v>1</v>
      </c>
      <c r="G1551" s="2">
        <v>1</v>
      </c>
      <c r="H1551" s="2">
        <v>1</v>
      </c>
    </row>
    <row r="1552" spans="1:8" x14ac:dyDescent="0.25">
      <c r="A1552" s="1" t="str">
        <f>"08850"</f>
        <v>08850</v>
      </c>
      <c r="B1552" s="1" t="str">
        <f>"35154"</f>
        <v>35154</v>
      </c>
      <c r="C1552" s="1" t="str">
        <f>"MILLTOWN"</f>
        <v>MILLTOWN</v>
      </c>
      <c r="D1552" s="1" t="str">
        <f t="shared" si="108"/>
        <v>NJ</v>
      </c>
      <c r="E1552" s="2">
        <v>1</v>
      </c>
      <c r="F1552" s="2">
        <v>1</v>
      </c>
      <c r="G1552" s="2">
        <v>1</v>
      </c>
      <c r="H1552" s="2">
        <v>1</v>
      </c>
    </row>
    <row r="1553" spans="1:8" x14ac:dyDescent="0.25">
      <c r="A1553" s="1" t="str">
        <f>"10268"</f>
        <v>10268</v>
      </c>
      <c r="B1553" s="1" t="str">
        <f>"35614"</f>
        <v>35614</v>
      </c>
      <c r="C1553" s="1" t="str">
        <f>"NEW YORK"</f>
        <v>NEW YORK</v>
      </c>
      <c r="D1553" s="1" t="str">
        <f t="shared" ref="D1553:D1561" si="109">"NY"</f>
        <v>NY</v>
      </c>
      <c r="E1553" s="2">
        <v>1</v>
      </c>
      <c r="F1553" s="2">
        <v>1</v>
      </c>
      <c r="G1553" s="2">
        <v>1</v>
      </c>
      <c r="H1553" s="2">
        <v>1</v>
      </c>
    </row>
    <row r="1554" spans="1:8" x14ac:dyDescent="0.25">
      <c r="A1554" s="1" t="str">
        <f>"10282"</f>
        <v>10282</v>
      </c>
      <c r="B1554" s="1" t="str">
        <f>"35614"</f>
        <v>35614</v>
      </c>
      <c r="C1554" s="1" t="str">
        <f>"NEW YORK"</f>
        <v>NEW YORK</v>
      </c>
      <c r="D1554" s="1" t="str">
        <f t="shared" si="109"/>
        <v>NY</v>
      </c>
      <c r="E1554" s="2">
        <v>1</v>
      </c>
      <c r="F1554" s="2">
        <v>1</v>
      </c>
      <c r="G1554" s="2">
        <v>1</v>
      </c>
      <c r="H1554" s="2">
        <v>1</v>
      </c>
    </row>
    <row r="1555" spans="1:8" x14ac:dyDescent="0.25">
      <c r="A1555" s="1" t="str">
        <f>"11598"</f>
        <v>11598</v>
      </c>
      <c r="B1555" s="1" t="str">
        <f>"35004"</f>
        <v>35004</v>
      </c>
      <c r="C1555" s="1" t="str">
        <f>"WOODMERE"</f>
        <v>WOODMERE</v>
      </c>
      <c r="D1555" s="1" t="str">
        <f t="shared" si="109"/>
        <v>NY</v>
      </c>
      <c r="E1555" s="2">
        <v>1</v>
      </c>
      <c r="F1555" s="2">
        <v>1</v>
      </c>
      <c r="G1555" s="2">
        <v>1</v>
      </c>
      <c r="H1555" s="2">
        <v>1</v>
      </c>
    </row>
    <row r="1556" spans="1:8" x14ac:dyDescent="0.25">
      <c r="A1556" s="1" t="str">
        <f>"11721"</f>
        <v>11721</v>
      </c>
      <c r="B1556" s="1" t="str">
        <f>"35004"</f>
        <v>35004</v>
      </c>
      <c r="C1556" s="1" t="str">
        <f>"CENTERPORT"</f>
        <v>CENTERPORT</v>
      </c>
      <c r="D1556" s="1" t="str">
        <f t="shared" si="109"/>
        <v>NY</v>
      </c>
      <c r="E1556" s="2">
        <v>1</v>
      </c>
      <c r="F1556" s="2">
        <v>1</v>
      </c>
      <c r="G1556" s="2">
        <v>1</v>
      </c>
      <c r="H1556" s="2">
        <v>1</v>
      </c>
    </row>
    <row r="1557" spans="1:8" x14ac:dyDescent="0.25">
      <c r="A1557" s="1" t="str">
        <f>"11740"</f>
        <v>11740</v>
      </c>
      <c r="B1557" s="1" t="str">
        <f>"35004"</f>
        <v>35004</v>
      </c>
      <c r="C1557" s="1" t="str">
        <f>"GREENLAWN"</f>
        <v>GREENLAWN</v>
      </c>
      <c r="D1557" s="1" t="str">
        <f t="shared" si="109"/>
        <v>NY</v>
      </c>
      <c r="E1557" s="2">
        <v>1</v>
      </c>
      <c r="F1557" s="2">
        <v>1</v>
      </c>
      <c r="G1557" s="2">
        <v>1</v>
      </c>
      <c r="H1557" s="2">
        <v>1</v>
      </c>
    </row>
    <row r="1558" spans="1:8" x14ac:dyDescent="0.25">
      <c r="A1558" s="1" t="str">
        <f>"10516"</f>
        <v>10516</v>
      </c>
      <c r="B1558" s="1" t="str">
        <f>"35614"</f>
        <v>35614</v>
      </c>
      <c r="C1558" s="1" t="str">
        <f>"COLD SPRING"</f>
        <v>COLD SPRING</v>
      </c>
      <c r="D1558" s="1" t="str">
        <f t="shared" si="109"/>
        <v>NY</v>
      </c>
      <c r="E1558" s="2">
        <v>1</v>
      </c>
      <c r="F1558" s="2">
        <v>1</v>
      </c>
      <c r="G1558" s="2">
        <v>1</v>
      </c>
      <c r="H1558" s="2">
        <v>1</v>
      </c>
    </row>
    <row r="1559" spans="1:8" x14ac:dyDescent="0.25">
      <c r="A1559" s="1" t="str">
        <f>"11952"</f>
        <v>11952</v>
      </c>
      <c r="B1559" s="1" t="str">
        <f>"35004"</f>
        <v>35004</v>
      </c>
      <c r="C1559" s="1" t="str">
        <f>"MATTITUCK"</f>
        <v>MATTITUCK</v>
      </c>
      <c r="D1559" s="1" t="str">
        <f t="shared" si="109"/>
        <v>NY</v>
      </c>
      <c r="E1559" s="2">
        <v>1</v>
      </c>
      <c r="F1559" s="2">
        <v>1</v>
      </c>
      <c r="G1559" s="2">
        <v>1</v>
      </c>
      <c r="H1559" s="2">
        <v>1</v>
      </c>
    </row>
    <row r="1560" spans="1:8" x14ac:dyDescent="0.25">
      <c r="A1560" s="1" t="str">
        <f>"11960"</f>
        <v>11960</v>
      </c>
      <c r="B1560" s="1" t="str">
        <f>"35004"</f>
        <v>35004</v>
      </c>
      <c r="C1560" s="1" t="str">
        <f>"REMSENBURG"</f>
        <v>REMSENBURG</v>
      </c>
      <c r="D1560" s="1" t="str">
        <f t="shared" si="109"/>
        <v>NY</v>
      </c>
      <c r="E1560" s="2">
        <v>1</v>
      </c>
      <c r="F1560" s="2">
        <v>0</v>
      </c>
      <c r="G1560" s="2">
        <v>1</v>
      </c>
      <c r="H1560" s="2">
        <v>1</v>
      </c>
    </row>
    <row r="1561" spans="1:8" x14ac:dyDescent="0.25">
      <c r="A1561" s="1" t="str">
        <f>"10598"</f>
        <v>10598</v>
      </c>
      <c r="B1561" s="1" t="str">
        <f>"35614"</f>
        <v>35614</v>
      </c>
      <c r="C1561" s="1" t="str">
        <f>"YORKTOWN HEIGHTS"</f>
        <v>YORKTOWN HEIGHTS</v>
      </c>
      <c r="D1561" s="1" t="str">
        <f t="shared" si="109"/>
        <v>NY</v>
      </c>
      <c r="E1561" s="2">
        <v>1</v>
      </c>
      <c r="F1561" s="2">
        <v>1</v>
      </c>
      <c r="G1561" s="2">
        <v>1</v>
      </c>
      <c r="H1561" s="2">
        <v>1</v>
      </c>
    </row>
    <row r="1562" spans="1:8" x14ac:dyDescent="0.25">
      <c r="A1562" s="1" t="str">
        <f>"18901"</f>
        <v>18901</v>
      </c>
      <c r="B1562" s="1" t="str">
        <f>"33874"</f>
        <v>33874</v>
      </c>
      <c r="C1562" s="1" t="str">
        <f>"DOYLESTOWN"</f>
        <v>DOYLESTOWN</v>
      </c>
      <c r="D1562" s="1" t="str">
        <f>"PA"</f>
        <v>PA</v>
      </c>
      <c r="E1562" s="2">
        <v>1</v>
      </c>
      <c r="F1562" s="2">
        <v>1</v>
      </c>
      <c r="G1562" s="2">
        <v>1</v>
      </c>
      <c r="H1562" s="2">
        <v>1</v>
      </c>
    </row>
    <row r="1563" spans="1:8" x14ac:dyDescent="0.25">
      <c r="A1563" s="1" t="str">
        <f>"18966"</f>
        <v>18966</v>
      </c>
      <c r="B1563" s="1" t="str">
        <f>"33874"</f>
        <v>33874</v>
      </c>
      <c r="C1563" s="1" t="str">
        <f>"SOUTHAMPTON"</f>
        <v>SOUTHAMPTON</v>
      </c>
      <c r="D1563" s="1" t="str">
        <f>"PA"</f>
        <v>PA</v>
      </c>
      <c r="E1563" s="2">
        <v>1</v>
      </c>
      <c r="F1563" s="2">
        <v>1</v>
      </c>
      <c r="G1563" s="2">
        <v>1</v>
      </c>
      <c r="H1563" s="2">
        <v>1</v>
      </c>
    </row>
    <row r="1564" spans="1:8" x14ac:dyDescent="0.25">
      <c r="A1564" s="1" t="str">
        <f>"18972"</f>
        <v>18972</v>
      </c>
      <c r="B1564" s="1" t="str">
        <f>"33874"</f>
        <v>33874</v>
      </c>
      <c r="C1564" s="1" t="str">
        <f>"UPPER BLACK EDDY"</f>
        <v>UPPER BLACK EDDY</v>
      </c>
      <c r="D1564" s="1" t="str">
        <f>"PA"</f>
        <v>PA</v>
      </c>
      <c r="E1564" s="2">
        <v>1</v>
      </c>
      <c r="F1564" s="2">
        <v>1</v>
      </c>
      <c r="G1564" s="2">
        <v>1</v>
      </c>
      <c r="H1564" s="2">
        <v>1</v>
      </c>
    </row>
    <row r="1565" spans="1:8" x14ac:dyDescent="0.25">
      <c r="A1565" s="1" t="str">
        <f>"19053"</f>
        <v>19053</v>
      </c>
      <c r="B1565" s="1" t="str">
        <f>"33874"</f>
        <v>33874</v>
      </c>
      <c r="C1565" s="1" t="str">
        <f>"FEASTERVILLE TREVOSE"</f>
        <v>FEASTERVILLE TREVOSE</v>
      </c>
      <c r="D1565" s="1" t="str">
        <f>"PA"</f>
        <v>PA</v>
      </c>
      <c r="E1565" s="2">
        <v>1</v>
      </c>
      <c r="F1565" s="2">
        <v>1</v>
      </c>
      <c r="G1565" s="2">
        <v>1</v>
      </c>
      <c r="H1565" s="2">
        <v>1</v>
      </c>
    </row>
    <row r="1566" spans="1:8" x14ac:dyDescent="0.25">
      <c r="A1566" s="1" t="str">
        <f>"19702"</f>
        <v>19702</v>
      </c>
      <c r="B1566" s="1" t="str">
        <f>"48864"</f>
        <v>48864</v>
      </c>
      <c r="C1566" s="1" t="str">
        <f>"NEWARK"</f>
        <v>NEWARK</v>
      </c>
      <c r="D1566" s="1" t="str">
        <f>"DE"</f>
        <v>DE</v>
      </c>
      <c r="E1566" s="2">
        <v>1</v>
      </c>
      <c r="F1566" s="2">
        <v>1</v>
      </c>
      <c r="G1566" s="2">
        <v>1</v>
      </c>
      <c r="H1566" s="2">
        <v>1</v>
      </c>
    </row>
    <row r="1567" spans="1:8" x14ac:dyDescent="0.25">
      <c r="A1567" s="1" t="str">
        <f>"20007"</f>
        <v>20007</v>
      </c>
      <c r="B1567" s="1" t="str">
        <f>"47894"</f>
        <v>47894</v>
      </c>
      <c r="C1567" s="1" t="str">
        <f>"WASHINGTON"</f>
        <v>WASHINGTON</v>
      </c>
      <c r="D1567" s="1" t="str">
        <f>"DC"</f>
        <v>DC</v>
      </c>
      <c r="E1567" s="2">
        <v>1</v>
      </c>
      <c r="F1567" s="2">
        <v>1</v>
      </c>
      <c r="G1567" s="2">
        <v>1</v>
      </c>
      <c r="H1567" s="2">
        <v>1</v>
      </c>
    </row>
    <row r="1568" spans="1:8" x14ac:dyDescent="0.25">
      <c r="A1568" s="1" t="str">
        <f>"20603"</f>
        <v>20603</v>
      </c>
      <c r="B1568" s="1" t="str">
        <f>"47894"</f>
        <v>47894</v>
      </c>
      <c r="C1568" s="1" t="str">
        <f>"WALDORF"</f>
        <v>WALDORF</v>
      </c>
      <c r="D1568" s="1" t="str">
        <f>"MD"</f>
        <v>MD</v>
      </c>
      <c r="E1568" s="2">
        <v>1</v>
      </c>
      <c r="F1568" s="2">
        <v>1</v>
      </c>
      <c r="G1568" s="2">
        <v>1</v>
      </c>
      <c r="H1568" s="2">
        <v>1</v>
      </c>
    </row>
    <row r="1569" spans="1:8" x14ac:dyDescent="0.25">
      <c r="A1569" s="1" t="str">
        <f>"20528"</f>
        <v>20528</v>
      </c>
      <c r="B1569" s="1" t="str">
        <f>"47894"</f>
        <v>47894</v>
      </c>
      <c r="C1569" s="1" t="str">
        <f>"WASHINGTON"</f>
        <v>WASHINGTON</v>
      </c>
      <c r="D1569" s="1" t="str">
        <f>"DC"</f>
        <v>DC</v>
      </c>
      <c r="E1569" s="2">
        <v>0</v>
      </c>
      <c r="F1569" s="2">
        <v>1</v>
      </c>
      <c r="G1569" s="2">
        <v>1</v>
      </c>
      <c r="H1569" s="2">
        <v>1</v>
      </c>
    </row>
    <row r="1570" spans="1:8" x14ac:dyDescent="0.25">
      <c r="A1570" s="1" t="str">
        <f>"20688"</f>
        <v>20688</v>
      </c>
      <c r="B1570" s="1" t="str">
        <f>"47894"</f>
        <v>47894</v>
      </c>
      <c r="C1570" s="1" t="str">
        <f>"SOLOMONS"</f>
        <v>SOLOMONS</v>
      </c>
      <c r="D1570" s="1" t="str">
        <f>"MD"</f>
        <v>MD</v>
      </c>
      <c r="E1570" s="2">
        <v>1</v>
      </c>
      <c r="F1570" s="2">
        <v>1</v>
      </c>
      <c r="G1570" s="2">
        <v>1</v>
      </c>
      <c r="H1570" s="2">
        <v>1</v>
      </c>
    </row>
    <row r="1571" spans="1:8" x14ac:dyDescent="0.25">
      <c r="A1571" s="1" t="str">
        <f>"20754"</f>
        <v>20754</v>
      </c>
      <c r="B1571" s="1" t="str">
        <f>"47894"</f>
        <v>47894</v>
      </c>
      <c r="C1571" s="1" t="str">
        <f>"DUNKIRK"</f>
        <v>DUNKIRK</v>
      </c>
      <c r="D1571" s="1" t="str">
        <f>"MD"</f>
        <v>MD</v>
      </c>
      <c r="E1571" s="2">
        <v>1</v>
      </c>
      <c r="F1571" s="2">
        <v>1</v>
      </c>
      <c r="G1571" s="2">
        <v>1</v>
      </c>
      <c r="H1571" s="2">
        <v>1</v>
      </c>
    </row>
    <row r="1572" spans="1:8" x14ac:dyDescent="0.25">
      <c r="A1572" s="1" t="str">
        <f>"20911"</f>
        <v>20911</v>
      </c>
      <c r="B1572" s="1" t="str">
        <f>"23224"</f>
        <v>23224</v>
      </c>
      <c r="C1572" s="1" t="str">
        <f>"SILVER SPRING"</f>
        <v>SILVER SPRING</v>
      </c>
      <c r="D1572" s="1" t="str">
        <f>"MD"</f>
        <v>MD</v>
      </c>
      <c r="E1572" s="2">
        <v>1</v>
      </c>
      <c r="F1572" s="2">
        <v>1</v>
      </c>
      <c r="G1572" s="2">
        <v>1</v>
      </c>
      <c r="H1572" s="2">
        <v>1</v>
      </c>
    </row>
    <row r="1573" spans="1:8" x14ac:dyDescent="0.25">
      <c r="A1573" s="1" t="str">
        <f>"20110"</f>
        <v>20110</v>
      </c>
      <c r="B1573" s="1" t="str">
        <f>"47894"</f>
        <v>47894</v>
      </c>
      <c r="C1573" s="1" t="str">
        <f>"MANASSAS"</f>
        <v>MANASSAS</v>
      </c>
      <c r="D1573" s="1" t="str">
        <f>"VA"</f>
        <v>VA</v>
      </c>
      <c r="E1573" s="2">
        <v>1</v>
      </c>
      <c r="F1573" s="2">
        <v>1</v>
      </c>
      <c r="G1573" s="2">
        <v>1</v>
      </c>
      <c r="H1573" s="2">
        <v>1</v>
      </c>
    </row>
    <row r="1574" spans="1:8" x14ac:dyDescent="0.25">
      <c r="A1574" s="1" t="str">
        <f>"20186"</f>
        <v>20186</v>
      </c>
      <c r="B1574" s="1" t="str">
        <f>"47894"</f>
        <v>47894</v>
      </c>
      <c r="C1574" s="1" t="str">
        <f>"WARRENTON"</f>
        <v>WARRENTON</v>
      </c>
      <c r="D1574" s="1" t="str">
        <f>"VA"</f>
        <v>VA</v>
      </c>
      <c r="E1574" s="2">
        <v>1</v>
      </c>
      <c r="F1574" s="2">
        <v>1</v>
      </c>
      <c r="G1574" s="2">
        <v>1</v>
      </c>
      <c r="H1574" s="2">
        <v>1</v>
      </c>
    </row>
    <row r="1575" spans="1:8" x14ac:dyDescent="0.25">
      <c r="A1575" s="1" t="str">
        <f>"20198"</f>
        <v>20198</v>
      </c>
      <c r="B1575" s="1" t="str">
        <f>"47894"</f>
        <v>47894</v>
      </c>
      <c r="C1575" s="1" t="str">
        <f>"THE PLAINS"</f>
        <v>THE PLAINS</v>
      </c>
      <c r="D1575" s="1" t="str">
        <f>"VA"</f>
        <v>VA</v>
      </c>
      <c r="E1575" s="2">
        <v>1</v>
      </c>
      <c r="F1575" s="2">
        <v>1</v>
      </c>
      <c r="G1575" s="2">
        <v>1</v>
      </c>
      <c r="H1575" s="2">
        <v>1</v>
      </c>
    </row>
    <row r="1576" spans="1:8" x14ac:dyDescent="0.25">
      <c r="A1576" s="1" t="str">
        <f>"33032"</f>
        <v>33032</v>
      </c>
      <c r="B1576" s="1" t="str">
        <f>"33124"</f>
        <v>33124</v>
      </c>
      <c r="C1576" s="1" t="str">
        <f>"HOMESTEAD"</f>
        <v>HOMESTEAD</v>
      </c>
      <c r="D1576" s="1" t="str">
        <f t="shared" ref="D1576:D1582" si="110">"FL"</f>
        <v>FL</v>
      </c>
      <c r="E1576" s="2">
        <v>1</v>
      </c>
      <c r="F1576" s="2">
        <v>1</v>
      </c>
      <c r="G1576" s="2">
        <v>1</v>
      </c>
      <c r="H1576" s="2">
        <v>1</v>
      </c>
    </row>
    <row r="1577" spans="1:8" x14ac:dyDescent="0.25">
      <c r="A1577" s="1" t="str">
        <f>"33025"</f>
        <v>33025</v>
      </c>
      <c r="B1577" s="1" t="str">
        <f>"22744"</f>
        <v>22744</v>
      </c>
      <c r="C1577" s="1" t="str">
        <f>"HOLLYWOOD"</f>
        <v>HOLLYWOOD</v>
      </c>
      <c r="D1577" s="1" t="str">
        <f t="shared" si="110"/>
        <v>FL</v>
      </c>
      <c r="E1577" s="2">
        <v>1</v>
      </c>
      <c r="F1577" s="2">
        <v>1</v>
      </c>
      <c r="G1577" s="2">
        <v>1</v>
      </c>
      <c r="H1577" s="2">
        <v>1</v>
      </c>
    </row>
    <row r="1578" spans="1:8" x14ac:dyDescent="0.25">
      <c r="A1578" s="1" t="str">
        <f>"33127"</f>
        <v>33127</v>
      </c>
      <c r="B1578" s="1" t="str">
        <f>"33124"</f>
        <v>33124</v>
      </c>
      <c r="C1578" s="1" t="str">
        <f>"MIAMI"</f>
        <v>MIAMI</v>
      </c>
      <c r="D1578" s="1" t="str">
        <f t="shared" si="110"/>
        <v>FL</v>
      </c>
      <c r="E1578" s="2">
        <v>1</v>
      </c>
      <c r="F1578" s="2">
        <v>1</v>
      </c>
      <c r="G1578" s="2">
        <v>1</v>
      </c>
      <c r="H1578" s="2">
        <v>1</v>
      </c>
    </row>
    <row r="1579" spans="1:8" x14ac:dyDescent="0.25">
      <c r="A1579" s="1" t="str">
        <f>"33084"</f>
        <v>33084</v>
      </c>
      <c r="B1579" s="1" t="str">
        <f>"22744"</f>
        <v>22744</v>
      </c>
      <c r="C1579" s="1" t="str">
        <f>"HOLLYWOOD"</f>
        <v>HOLLYWOOD</v>
      </c>
      <c r="D1579" s="1" t="str">
        <f t="shared" si="110"/>
        <v>FL</v>
      </c>
      <c r="E1579" s="2">
        <v>1</v>
      </c>
      <c r="F1579" s="2">
        <v>1</v>
      </c>
      <c r="G1579" s="2">
        <v>1</v>
      </c>
      <c r="H1579" s="2">
        <v>1</v>
      </c>
    </row>
    <row r="1580" spans="1:8" x14ac:dyDescent="0.25">
      <c r="A1580" s="1" t="str">
        <f>"33324"</f>
        <v>33324</v>
      </c>
      <c r="B1580" s="1" t="str">
        <f>"22744"</f>
        <v>22744</v>
      </c>
      <c r="C1580" s="1" t="str">
        <f>"FORT LAUDERDALE"</f>
        <v>FORT LAUDERDALE</v>
      </c>
      <c r="D1580" s="1" t="str">
        <f t="shared" si="110"/>
        <v>FL</v>
      </c>
      <c r="E1580" s="2">
        <v>1</v>
      </c>
      <c r="F1580" s="2">
        <v>1</v>
      </c>
      <c r="G1580" s="2">
        <v>1</v>
      </c>
      <c r="H1580" s="2">
        <v>1</v>
      </c>
    </row>
    <row r="1581" spans="1:8" x14ac:dyDescent="0.25">
      <c r="A1581" s="1" t="str">
        <f>"33145"</f>
        <v>33145</v>
      </c>
      <c r="B1581" s="1" t="str">
        <f>"33124"</f>
        <v>33124</v>
      </c>
      <c r="C1581" s="1" t="str">
        <f>"MIAMI"</f>
        <v>MIAMI</v>
      </c>
      <c r="D1581" s="1" t="str">
        <f t="shared" si="110"/>
        <v>FL</v>
      </c>
      <c r="E1581" s="2">
        <v>1</v>
      </c>
      <c r="F1581" s="2">
        <v>1</v>
      </c>
      <c r="G1581" s="2">
        <v>1</v>
      </c>
      <c r="H1581" s="2">
        <v>1</v>
      </c>
    </row>
    <row r="1582" spans="1:8" x14ac:dyDescent="0.25">
      <c r="A1582" s="1" t="str">
        <f>"33478"</f>
        <v>33478</v>
      </c>
      <c r="B1582" s="1" t="str">
        <f>"48424"</f>
        <v>48424</v>
      </c>
      <c r="C1582" s="1" t="str">
        <f>"JUPITER"</f>
        <v>JUPITER</v>
      </c>
      <c r="D1582" s="1" t="str">
        <f t="shared" si="110"/>
        <v>FL</v>
      </c>
      <c r="E1582" s="2">
        <v>1</v>
      </c>
      <c r="F1582" s="2">
        <v>1</v>
      </c>
      <c r="G1582" s="2">
        <v>1</v>
      </c>
      <c r="H1582" s="2">
        <v>1</v>
      </c>
    </row>
    <row r="1583" spans="1:8" x14ac:dyDescent="0.25">
      <c r="A1583" s="1" t="str">
        <f>"46319"</f>
        <v>46319</v>
      </c>
      <c r="B1583" s="1" t="str">
        <f>"23844"</f>
        <v>23844</v>
      </c>
      <c r="C1583" s="1" t="str">
        <f>"GRIFFITH"</f>
        <v>GRIFFITH</v>
      </c>
      <c r="D1583" s="1" t="str">
        <f>"IN"</f>
        <v>IN</v>
      </c>
      <c r="E1583" s="2">
        <v>1</v>
      </c>
      <c r="F1583" s="2">
        <v>1</v>
      </c>
      <c r="G1583" s="2">
        <v>1</v>
      </c>
      <c r="H1583" s="2">
        <v>1</v>
      </c>
    </row>
    <row r="1584" spans="1:8" x14ac:dyDescent="0.25">
      <c r="A1584" s="1" t="str">
        <f>"48088"</f>
        <v>48088</v>
      </c>
      <c r="B1584" s="1" t="str">
        <f>"47664"</f>
        <v>47664</v>
      </c>
      <c r="C1584" s="1" t="str">
        <f>"WARREN"</f>
        <v>WARREN</v>
      </c>
      <c r="D1584" s="1" t="str">
        <f>"MI"</f>
        <v>MI</v>
      </c>
      <c r="E1584" s="2">
        <v>1</v>
      </c>
      <c r="F1584" s="2">
        <v>1</v>
      </c>
      <c r="G1584" s="2">
        <v>1</v>
      </c>
      <c r="H1584" s="2">
        <v>1</v>
      </c>
    </row>
    <row r="1585" spans="1:8" x14ac:dyDescent="0.25">
      <c r="A1585" s="1" t="str">
        <f>"48348"</f>
        <v>48348</v>
      </c>
      <c r="B1585" s="1" t="str">
        <f>"47664"</f>
        <v>47664</v>
      </c>
      <c r="C1585" s="1" t="str">
        <f>"CLARKSTON"</f>
        <v>CLARKSTON</v>
      </c>
      <c r="D1585" s="1" t="str">
        <f>"MI"</f>
        <v>MI</v>
      </c>
      <c r="E1585" s="2">
        <v>1</v>
      </c>
      <c r="F1585" s="2">
        <v>1</v>
      </c>
      <c r="G1585" s="2">
        <v>1</v>
      </c>
      <c r="H1585" s="2">
        <v>1</v>
      </c>
    </row>
    <row r="1586" spans="1:8" x14ac:dyDescent="0.25">
      <c r="A1586" s="1" t="str">
        <f>"48323"</f>
        <v>48323</v>
      </c>
      <c r="B1586" s="1" t="str">
        <f>"47664"</f>
        <v>47664</v>
      </c>
      <c r="C1586" s="1" t="str">
        <f>"WEST BLOOMFIELD"</f>
        <v>WEST BLOOMFIELD</v>
      </c>
      <c r="D1586" s="1" t="str">
        <f>"MI"</f>
        <v>MI</v>
      </c>
      <c r="E1586" s="2">
        <v>1</v>
      </c>
      <c r="F1586" s="2">
        <v>1</v>
      </c>
      <c r="G1586" s="2">
        <v>1</v>
      </c>
      <c r="H1586" s="2">
        <v>1</v>
      </c>
    </row>
    <row r="1587" spans="1:8" x14ac:dyDescent="0.25">
      <c r="A1587" s="1" t="str">
        <f>"48302"</f>
        <v>48302</v>
      </c>
      <c r="B1587" s="1" t="str">
        <f>"47664"</f>
        <v>47664</v>
      </c>
      <c r="C1587" s="1" t="str">
        <f>"BLOOMFIELD HILLS"</f>
        <v>BLOOMFIELD HILLS</v>
      </c>
      <c r="D1587" s="1" t="str">
        <f>"MI"</f>
        <v>MI</v>
      </c>
      <c r="E1587" s="2">
        <v>1</v>
      </c>
      <c r="F1587" s="2">
        <v>1</v>
      </c>
      <c r="G1587" s="2">
        <v>1</v>
      </c>
      <c r="H1587" s="2">
        <v>1</v>
      </c>
    </row>
    <row r="1588" spans="1:8" x14ac:dyDescent="0.25">
      <c r="A1588" s="1" t="str">
        <f>"48430"</f>
        <v>48430</v>
      </c>
      <c r="B1588" s="1" t="str">
        <f>"47664"</f>
        <v>47664</v>
      </c>
      <c r="C1588" s="1" t="str">
        <f>"FENTON"</f>
        <v>FENTON</v>
      </c>
      <c r="D1588" s="1" t="str">
        <f>"MI"</f>
        <v>MI</v>
      </c>
      <c r="E1588" s="2">
        <v>1</v>
      </c>
      <c r="F1588" s="2">
        <v>1</v>
      </c>
      <c r="G1588" s="2">
        <v>1</v>
      </c>
      <c r="H1588" s="2">
        <v>1</v>
      </c>
    </row>
    <row r="1589" spans="1:8" x14ac:dyDescent="0.25">
      <c r="A1589" s="1" t="str">
        <f>"60425"</f>
        <v>60425</v>
      </c>
      <c r="B1589" s="1" t="str">
        <f>"16984"</f>
        <v>16984</v>
      </c>
      <c r="C1589" s="1" t="str">
        <f>"GLENWOOD"</f>
        <v>GLENWOOD</v>
      </c>
      <c r="D1589" s="1" t="str">
        <f t="shared" ref="D1589:D1599" si="111">"IL"</f>
        <v>IL</v>
      </c>
      <c r="E1589" s="2">
        <v>1</v>
      </c>
      <c r="F1589" s="2">
        <v>1</v>
      </c>
      <c r="G1589" s="2">
        <v>1</v>
      </c>
      <c r="H1589" s="2">
        <v>1</v>
      </c>
    </row>
    <row r="1590" spans="1:8" x14ac:dyDescent="0.25">
      <c r="A1590" s="1" t="str">
        <f>"60559"</f>
        <v>60559</v>
      </c>
      <c r="B1590" s="1" t="str">
        <f>"16984"</f>
        <v>16984</v>
      </c>
      <c r="C1590" s="1" t="str">
        <f>"WESTMONT"</f>
        <v>WESTMONT</v>
      </c>
      <c r="D1590" s="1" t="str">
        <f t="shared" si="111"/>
        <v>IL</v>
      </c>
      <c r="E1590" s="2">
        <v>1</v>
      </c>
      <c r="F1590" s="2">
        <v>1</v>
      </c>
      <c r="G1590" s="2">
        <v>1</v>
      </c>
      <c r="H1590" s="2">
        <v>1</v>
      </c>
    </row>
    <row r="1591" spans="1:8" x14ac:dyDescent="0.25">
      <c r="A1591" s="1" t="str">
        <f>"60045"</f>
        <v>60045</v>
      </c>
      <c r="B1591" s="1" t="str">
        <f>"29404"</f>
        <v>29404</v>
      </c>
      <c r="C1591" s="1" t="str">
        <f>"LAKE FOREST"</f>
        <v>LAKE FOREST</v>
      </c>
      <c r="D1591" s="1" t="str">
        <f t="shared" si="111"/>
        <v>IL</v>
      </c>
      <c r="E1591" s="2">
        <v>1</v>
      </c>
      <c r="F1591" s="2">
        <v>1</v>
      </c>
      <c r="G1591" s="2">
        <v>1</v>
      </c>
      <c r="H1591" s="2">
        <v>1</v>
      </c>
    </row>
    <row r="1592" spans="1:8" x14ac:dyDescent="0.25">
      <c r="A1592" s="1" t="str">
        <f>"60120"</f>
        <v>60120</v>
      </c>
      <c r="B1592" s="1" t="str">
        <f>"16984"</f>
        <v>16984</v>
      </c>
      <c r="C1592" s="1" t="str">
        <f>"ELGIN"</f>
        <v>ELGIN</v>
      </c>
      <c r="D1592" s="1" t="str">
        <f t="shared" si="111"/>
        <v>IL</v>
      </c>
      <c r="E1592" s="2">
        <v>0.52574002574002499</v>
      </c>
      <c r="F1592" s="2">
        <v>0.293042867182009</v>
      </c>
      <c r="G1592" s="2">
        <v>0.22960725075528701</v>
      </c>
      <c r="H1592" s="2">
        <v>0.469296613323409</v>
      </c>
    </row>
    <row r="1593" spans="1:8" x14ac:dyDescent="0.25">
      <c r="A1593" s="1" t="str">
        <f>"60120"</f>
        <v>60120</v>
      </c>
      <c r="B1593" s="1" t="str">
        <f>"20994"</f>
        <v>20994</v>
      </c>
      <c r="C1593" s="1" t="str">
        <f>"ELGIN"</f>
        <v>ELGIN</v>
      </c>
      <c r="D1593" s="1" t="str">
        <f t="shared" si="111"/>
        <v>IL</v>
      </c>
      <c r="E1593" s="2">
        <v>0.47425997425997402</v>
      </c>
      <c r="F1593" s="2">
        <v>0.70695713281799</v>
      </c>
      <c r="G1593" s="2">
        <v>0.77039274924471202</v>
      </c>
      <c r="H1593" s="2">
        <v>0.53070338667659001</v>
      </c>
    </row>
    <row r="1594" spans="1:8" x14ac:dyDescent="0.25">
      <c r="A1594" s="1" t="str">
        <f>"60012"</f>
        <v>60012</v>
      </c>
      <c r="B1594" s="1" t="str">
        <f>"16984"</f>
        <v>16984</v>
      </c>
      <c r="C1594" s="1" t="str">
        <f>"CRYSTAL LAKE"</f>
        <v>CRYSTAL LAKE</v>
      </c>
      <c r="D1594" s="1" t="str">
        <f t="shared" si="111"/>
        <v>IL</v>
      </c>
      <c r="E1594" s="2">
        <v>1</v>
      </c>
      <c r="F1594" s="2">
        <v>1</v>
      </c>
      <c r="G1594" s="2">
        <v>1</v>
      </c>
      <c r="H1594" s="2">
        <v>1</v>
      </c>
    </row>
    <row r="1595" spans="1:8" x14ac:dyDescent="0.25">
      <c r="A1595" s="1" t="str">
        <f>"60002"</f>
        <v>60002</v>
      </c>
      <c r="B1595" s="1" t="str">
        <f>"29404"</f>
        <v>29404</v>
      </c>
      <c r="C1595" s="1" t="str">
        <f>"ANTIOCH"</f>
        <v>ANTIOCH</v>
      </c>
      <c r="D1595" s="1" t="str">
        <f t="shared" si="111"/>
        <v>IL</v>
      </c>
      <c r="E1595" s="2">
        <v>1</v>
      </c>
      <c r="F1595" s="2">
        <v>1</v>
      </c>
      <c r="G1595" s="2">
        <v>1</v>
      </c>
      <c r="H1595" s="2">
        <v>1</v>
      </c>
    </row>
    <row r="1596" spans="1:8" x14ac:dyDescent="0.25">
      <c r="A1596" s="1" t="str">
        <f>"60609"</f>
        <v>60609</v>
      </c>
      <c r="B1596" s="1" t="str">
        <f>"16984"</f>
        <v>16984</v>
      </c>
      <c r="C1596" s="1" t="str">
        <f>"CHICAGO"</f>
        <v>CHICAGO</v>
      </c>
      <c r="D1596" s="1" t="str">
        <f t="shared" si="111"/>
        <v>IL</v>
      </c>
      <c r="E1596" s="2">
        <v>1</v>
      </c>
      <c r="F1596" s="2">
        <v>1</v>
      </c>
      <c r="G1596" s="2">
        <v>1</v>
      </c>
      <c r="H1596" s="2">
        <v>1</v>
      </c>
    </row>
    <row r="1597" spans="1:8" x14ac:dyDescent="0.25">
      <c r="A1597" s="1" t="str">
        <f>"60301"</f>
        <v>60301</v>
      </c>
      <c r="B1597" s="1" t="str">
        <f>"16984"</f>
        <v>16984</v>
      </c>
      <c r="C1597" s="1" t="str">
        <f>"OAK PARK"</f>
        <v>OAK PARK</v>
      </c>
      <c r="D1597" s="1" t="str">
        <f t="shared" si="111"/>
        <v>IL</v>
      </c>
      <c r="E1597" s="2">
        <v>1</v>
      </c>
      <c r="F1597" s="2">
        <v>1</v>
      </c>
      <c r="G1597" s="2">
        <v>1</v>
      </c>
      <c r="H1597" s="2">
        <v>1</v>
      </c>
    </row>
    <row r="1598" spans="1:8" x14ac:dyDescent="0.25">
      <c r="A1598" s="1" t="str">
        <f>"60601"</f>
        <v>60601</v>
      </c>
      <c r="B1598" s="1" t="str">
        <f>"16984"</f>
        <v>16984</v>
      </c>
      <c r="C1598" s="1" t="str">
        <f>"CHICAGO"</f>
        <v>CHICAGO</v>
      </c>
      <c r="D1598" s="1" t="str">
        <f t="shared" si="111"/>
        <v>IL</v>
      </c>
      <c r="E1598" s="2">
        <v>1</v>
      </c>
      <c r="F1598" s="2">
        <v>1</v>
      </c>
      <c r="G1598" s="2">
        <v>1</v>
      </c>
      <c r="H1598" s="2">
        <v>1</v>
      </c>
    </row>
    <row r="1599" spans="1:8" x14ac:dyDescent="0.25">
      <c r="A1599" s="1" t="str">
        <f>"60643"</f>
        <v>60643</v>
      </c>
      <c r="B1599" s="1" t="str">
        <f>"16984"</f>
        <v>16984</v>
      </c>
      <c r="C1599" s="1" t="str">
        <f>"CHICAGO"</f>
        <v>CHICAGO</v>
      </c>
      <c r="D1599" s="1" t="str">
        <f t="shared" si="111"/>
        <v>IL</v>
      </c>
      <c r="E1599" s="2">
        <v>1</v>
      </c>
      <c r="F1599" s="2">
        <v>1</v>
      </c>
      <c r="G1599" s="2">
        <v>1</v>
      </c>
      <c r="H1599" s="2">
        <v>1</v>
      </c>
    </row>
    <row r="1600" spans="1:8" x14ac:dyDescent="0.25">
      <c r="A1600" s="1" t="str">
        <f>"75063"</f>
        <v>75063</v>
      </c>
      <c r="B1600" s="1" t="str">
        <f t="shared" ref="B1600:B1606" si="112">"19124"</f>
        <v>19124</v>
      </c>
      <c r="C1600" s="1" t="str">
        <f>"IRVING"</f>
        <v>IRVING</v>
      </c>
      <c r="D1600" s="1" t="str">
        <f t="shared" ref="D1600:D1610" si="113">"TX"</f>
        <v>TX</v>
      </c>
      <c r="E1600" s="2">
        <v>1</v>
      </c>
      <c r="F1600" s="2">
        <v>1</v>
      </c>
      <c r="G1600" s="2">
        <v>1</v>
      </c>
      <c r="H1600" s="2">
        <v>1</v>
      </c>
    </row>
    <row r="1601" spans="1:8" x14ac:dyDescent="0.25">
      <c r="A1601" s="1" t="str">
        <f>"75230"</f>
        <v>75230</v>
      </c>
      <c r="B1601" s="1" t="str">
        <f t="shared" si="112"/>
        <v>19124</v>
      </c>
      <c r="C1601" s="1" t="str">
        <f>"DALLAS"</f>
        <v>DALLAS</v>
      </c>
      <c r="D1601" s="1" t="str">
        <f t="shared" si="113"/>
        <v>TX</v>
      </c>
      <c r="E1601" s="2">
        <v>1</v>
      </c>
      <c r="F1601" s="2">
        <v>1</v>
      </c>
      <c r="G1601" s="2">
        <v>1</v>
      </c>
      <c r="H1601" s="2">
        <v>1</v>
      </c>
    </row>
    <row r="1602" spans="1:8" x14ac:dyDescent="0.25">
      <c r="A1602" s="1" t="str">
        <f>"75253"</f>
        <v>75253</v>
      </c>
      <c r="B1602" s="1" t="str">
        <f t="shared" si="112"/>
        <v>19124</v>
      </c>
      <c r="C1602" s="1" t="str">
        <f>"DALLAS"</f>
        <v>DALLAS</v>
      </c>
      <c r="D1602" s="1" t="str">
        <f t="shared" si="113"/>
        <v>TX</v>
      </c>
      <c r="E1602" s="2">
        <v>1</v>
      </c>
      <c r="F1602" s="2">
        <v>1</v>
      </c>
      <c r="G1602" s="2">
        <v>1</v>
      </c>
      <c r="H1602" s="2">
        <v>1</v>
      </c>
    </row>
    <row r="1603" spans="1:8" x14ac:dyDescent="0.25">
      <c r="A1603" s="1" t="str">
        <f>"75222"</f>
        <v>75222</v>
      </c>
      <c r="B1603" s="1" t="str">
        <f t="shared" si="112"/>
        <v>19124</v>
      </c>
      <c r="C1603" s="1" t="str">
        <f>"DALLAS"</f>
        <v>DALLAS</v>
      </c>
      <c r="D1603" s="1" t="str">
        <f t="shared" si="113"/>
        <v>TX</v>
      </c>
      <c r="E1603" s="2">
        <v>1</v>
      </c>
      <c r="F1603" s="2">
        <v>1</v>
      </c>
      <c r="G1603" s="2">
        <v>1</v>
      </c>
      <c r="H1603" s="2">
        <v>1</v>
      </c>
    </row>
    <row r="1604" spans="1:8" x14ac:dyDescent="0.25">
      <c r="A1604" s="1" t="str">
        <f>"75125"</f>
        <v>75125</v>
      </c>
      <c r="B1604" s="1" t="str">
        <f t="shared" si="112"/>
        <v>19124</v>
      </c>
      <c r="C1604" s="1" t="str">
        <f>"FERRIS"</f>
        <v>FERRIS</v>
      </c>
      <c r="D1604" s="1" t="str">
        <f t="shared" si="113"/>
        <v>TX</v>
      </c>
      <c r="E1604" s="2">
        <v>1</v>
      </c>
      <c r="F1604" s="2">
        <v>1</v>
      </c>
      <c r="G1604" s="2">
        <v>1</v>
      </c>
      <c r="H1604" s="2">
        <v>1</v>
      </c>
    </row>
    <row r="1605" spans="1:8" x14ac:dyDescent="0.25">
      <c r="A1605" s="1" t="str">
        <f>"75152"</f>
        <v>75152</v>
      </c>
      <c r="B1605" s="1" t="str">
        <f t="shared" si="112"/>
        <v>19124</v>
      </c>
      <c r="C1605" s="1" t="str">
        <f>"PALMER"</f>
        <v>PALMER</v>
      </c>
      <c r="D1605" s="1" t="str">
        <f t="shared" si="113"/>
        <v>TX</v>
      </c>
      <c r="E1605" s="2">
        <v>1</v>
      </c>
      <c r="F1605" s="2">
        <v>1</v>
      </c>
      <c r="G1605" s="2">
        <v>1</v>
      </c>
      <c r="H1605" s="2">
        <v>1</v>
      </c>
    </row>
    <row r="1606" spans="1:8" x14ac:dyDescent="0.25">
      <c r="A1606" s="1" t="str">
        <f>"75173"</f>
        <v>75173</v>
      </c>
      <c r="B1606" s="1" t="str">
        <f t="shared" si="112"/>
        <v>19124</v>
      </c>
      <c r="C1606" s="1" t="str">
        <f>"NEVADA"</f>
        <v>NEVADA</v>
      </c>
      <c r="D1606" s="1" t="str">
        <f t="shared" si="113"/>
        <v>TX</v>
      </c>
      <c r="E1606" s="2">
        <v>1</v>
      </c>
      <c r="F1606" s="2">
        <v>1</v>
      </c>
      <c r="G1606" s="2">
        <v>1</v>
      </c>
      <c r="H1606" s="2">
        <v>1</v>
      </c>
    </row>
    <row r="1607" spans="1:8" x14ac:dyDescent="0.25">
      <c r="A1607" s="1" t="str">
        <f>"76073"</f>
        <v>76073</v>
      </c>
      <c r="B1607" s="1" t="str">
        <f>"23104"</f>
        <v>23104</v>
      </c>
      <c r="C1607" s="1" t="str">
        <f>"PARADISE"</f>
        <v>PARADISE</v>
      </c>
      <c r="D1607" s="1" t="str">
        <f t="shared" si="113"/>
        <v>TX</v>
      </c>
      <c r="E1607" s="2">
        <v>1</v>
      </c>
      <c r="F1607" s="2">
        <v>1</v>
      </c>
      <c r="G1607" s="2">
        <v>1</v>
      </c>
      <c r="H1607" s="2">
        <v>1</v>
      </c>
    </row>
    <row r="1608" spans="1:8" x14ac:dyDescent="0.25">
      <c r="A1608" s="1" t="str">
        <f>"76133"</f>
        <v>76133</v>
      </c>
      <c r="B1608" s="1" t="str">
        <f>"23104"</f>
        <v>23104</v>
      </c>
      <c r="C1608" s="1" t="str">
        <f>"FORT WORTH"</f>
        <v>FORT WORTH</v>
      </c>
      <c r="D1608" s="1" t="str">
        <f t="shared" si="113"/>
        <v>TX</v>
      </c>
      <c r="E1608" s="2">
        <v>1</v>
      </c>
      <c r="F1608" s="2">
        <v>1</v>
      </c>
      <c r="G1608" s="2">
        <v>1</v>
      </c>
      <c r="H1608" s="2">
        <v>1</v>
      </c>
    </row>
    <row r="1609" spans="1:8" x14ac:dyDescent="0.25">
      <c r="A1609" s="1" t="str">
        <f>"76204"</f>
        <v>76204</v>
      </c>
      <c r="B1609" s="1" t="str">
        <f>"19124"</f>
        <v>19124</v>
      </c>
      <c r="C1609" s="1" t="str">
        <f>"DENTON"</f>
        <v>DENTON</v>
      </c>
      <c r="D1609" s="1" t="str">
        <f t="shared" si="113"/>
        <v>TX</v>
      </c>
      <c r="E1609" s="2">
        <v>1</v>
      </c>
      <c r="F1609" s="2">
        <v>1</v>
      </c>
      <c r="G1609" s="2">
        <v>1</v>
      </c>
      <c r="H1609" s="2">
        <v>1</v>
      </c>
    </row>
    <row r="1610" spans="1:8" x14ac:dyDescent="0.25">
      <c r="A1610" s="1" t="str">
        <f>"76109"</f>
        <v>76109</v>
      </c>
      <c r="B1610" s="1" t="str">
        <f>"23104"</f>
        <v>23104</v>
      </c>
      <c r="C1610" s="1" t="str">
        <f>"FORT WORTH"</f>
        <v>FORT WORTH</v>
      </c>
      <c r="D1610" s="1" t="str">
        <f t="shared" si="113"/>
        <v>TX</v>
      </c>
      <c r="E1610" s="2">
        <v>1</v>
      </c>
      <c r="F1610" s="2">
        <v>1</v>
      </c>
      <c r="G1610" s="2">
        <v>1</v>
      </c>
      <c r="H1610" s="2">
        <v>1</v>
      </c>
    </row>
    <row r="1611" spans="1:8" x14ac:dyDescent="0.25">
      <c r="A1611" s="1" t="str">
        <f>"90071"</f>
        <v>90071</v>
      </c>
      <c r="B1611" s="1" t="str">
        <f t="shared" ref="B1611:B1623" si="114">"31084"</f>
        <v>31084</v>
      </c>
      <c r="C1611" s="1" t="str">
        <f>"LOS ANGELES"</f>
        <v>LOS ANGELES</v>
      </c>
      <c r="D1611" s="1" t="str">
        <f t="shared" ref="D1611:D1636" si="115">"CA"</f>
        <v>CA</v>
      </c>
      <c r="E1611" s="2">
        <v>1</v>
      </c>
      <c r="F1611" s="2">
        <v>1</v>
      </c>
      <c r="G1611" s="2">
        <v>1</v>
      </c>
      <c r="H1611" s="2">
        <v>1</v>
      </c>
    </row>
    <row r="1612" spans="1:8" x14ac:dyDescent="0.25">
      <c r="A1612" s="1" t="str">
        <f>"90010"</f>
        <v>90010</v>
      </c>
      <c r="B1612" s="1" t="str">
        <f t="shared" si="114"/>
        <v>31084</v>
      </c>
      <c r="C1612" s="1" t="str">
        <f>"LOS ANGELES"</f>
        <v>LOS ANGELES</v>
      </c>
      <c r="D1612" s="1" t="str">
        <f t="shared" si="115"/>
        <v>CA</v>
      </c>
      <c r="E1612" s="2">
        <v>1</v>
      </c>
      <c r="F1612" s="2">
        <v>1</v>
      </c>
      <c r="G1612" s="2">
        <v>1</v>
      </c>
      <c r="H1612" s="2">
        <v>1</v>
      </c>
    </row>
    <row r="1613" spans="1:8" x14ac:dyDescent="0.25">
      <c r="A1613" s="1" t="str">
        <f>"90005"</f>
        <v>90005</v>
      </c>
      <c r="B1613" s="1" t="str">
        <f t="shared" si="114"/>
        <v>31084</v>
      </c>
      <c r="C1613" s="1" t="str">
        <f>"LOS ANGELES"</f>
        <v>LOS ANGELES</v>
      </c>
      <c r="D1613" s="1" t="str">
        <f t="shared" si="115"/>
        <v>CA</v>
      </c>
      <c r="E1613" s="2">
        <v>1</v>
      </c>
      <c r="F1613" s="2">
        <v>1</v>
      </c>
      <c r="G1613" s="2">
        <v>1</v>
      </c>
      <c r="H1613" s="2">
        <v>1</v>
      </c>
    </row>
    <row r="1614" spans="1:8" x14ac:dyDescent="0.25">
      <c r="A1614" s="1" t="str">
        <f>"90262"</f>
        <v>90262</v>
      </c>
      <c r="B1614" s="1" t="str">
        <f t="shared" si="114"/>
        <v>31084</v>
      </c>
      <c r="C1614" s="1" t="str">
        <f>"LYNWOOD"</f>
        <v>LYNWOOD</v>
      </c>
      <c r="D1614" s="1" t="str">
        <f t="shared" si="115"/>
        <v>CA</v>
      </c>
      <c r="E1614" s="2">
        <v>1</v>
      </c>
      <c r="F1614" s="2">
        <v>1</v>
      </c>
      <c r="G1614" s="2">
        <v>1</v>
      </c>
      <c r="H1614" s="2">
        <v>1</v>
      </c>
    </row>
    <row r="1615" spans="1:8" x14ac:dyDescent="0.25">
      <c r="A1615" s="1" t="str">
        <f>"91330"</f>
        <v>91330</v>
      </c>
      <c r="B1615" s="1" t="str">
        <f t="shared" si="114"/>
        <v>31084</v>
      </c>
      <c r="C1615" s="1" t="str">
        <f>"NORTHRIDGE"</f>
        <v>NORTHRIDGE</v>
      </c>
      <c r="D1615" s="1" t="str">
        <f t="shared" si="115"/>
        <v>CA</v>
      </c>
      <c r="E1615" s="2">
        <v>1</v>
      </c>
      <c r="F1615" s="2">
        <v>1</v>
      </c>
      <c r="G1615" s="2">
        <v>1</v>
      </c>
      <c r="H1615" s="2">
        <v>1</v>
      </c>
    </row>
    <row r="1616" spans="1:8" x14ac:dyDescent="0.25">
      <c r="A1616" s="1" t="str">
        <f>"90712"</f>
        <v>90712</v>
      </c>
      <c r="B1616" s="1" t="str">
        <f t="shared" si="114"/>
        <v>31084</v>
      </c>
      <c r="C1616" s="1" t="str">
        <f>"LAKEWOOD"</f>
        <v>LAKEWOOD</v>
      </c>
      <c r="D1616" s="1" t="str">
        <f t="shared" si="115"/>
        <v>CA</v>
      </c>
      <c r="E1616" s="2">
        <v>1</v>
      </c>
      <c r="F1616" s="2">
        <v>1</v>
      </c>
      <c r="G1616" s="2">
        <v>1</v>
      </c>
      <c r="H1616" s="2">
        <v>1</v>
      </c>
    </row>
    <row r="1617" spans="1:8" x14ac:dyDescent="0.25">
      <c r="A1617" s="1" t="str">
        <f>"90501"</f>
        <v>90501</v>
      </c>
      <c r="B1617" s="1" t="str">
        <f t="shared" si="114"/>
        <v>31084</v>
      </c>
      <c r="C1617" s="1" t="str">
        <f>"TORRANCE"</f>
        <v>TORRANCE</v>
      </c>
      <c r="D1617" s="1" t="str">
        <f t="shared" si="115"/>
        <v>CA</v>
      </c>
      <c r="E1617" s="2">
        <v>1</v>
      </c>
      <c r="F1617" s="2">
        <v>1</v>
      </c>
      <c r="G1617" s="2">
        <v>1</v>
      </c>
      <c r="H1617" s="2">
        <v>1</v>
      </c>
    </row>
    <row r="1618" spans="1:8" x14ac:dyDescent="0.25">
      <c r="A1618" s="1" t="str">
        <f>"90303"</f>
        <v>90303</v>
      </c>
      <c r="B1618" s="1" t="str">
        <f t="shared" si="114"/>
        <v>31084</v>
      </c>
      <c r="C1618" s="1" t="str">
        <f>"INGLEWOOD"</f>
        <v>INGLEWOOD</v>
      </c>
      <c r="D1618" s="1" t="str">
        <f t="shared" si="115"/>
        <v>CA</v>
      </c>
      <c r="E1618" s="2">
        <v>1</v>
      </c>
      <c r="F1618" s="2">
        <v>1</v>
      </c>
      <c r="G1618" s="2">
        <v>1</v>
      </c>
      <c r="H1618" s="2">
        <v>1</v>
      </c>
    </row>
    <row r="1619" spans="1:8" x14ac:dyDescent="0.25">
      <c r="A1619" s="1" t="str">
        <f>"91411"</f>
        <v>91411</v>
      </c>
      <c r="B1619" s="1" t="str">
        <f t="shared" si="114"/>
        <v>31084</v>
      </c>
      <c r="C1619" s="1" t="str">
        <f>"VAN NUYS"</f>
        <v>VAN NUYS</v>
      </c>
      <c r="D1619" s="1" t="str">
        <f t="shared" si="115"/>
        <v>CA</v>
      </c>
      <c r="E1619" s="2">
        <v>1</v>
      </c>
      <c r="F1619" s="2">
        <v>1</v>
      </c>
      <c r="G1619" s="2">
        <v>1</v>
      </c>
      <c r="H1619" s="2">
        <v>1</v>
      </c>
    </row>
    <row r="1620" spans="1:8" x14ac:dyDescent="0.25">
      <c r="A1620" s="1" t="str">
        <f>"91423"</f>
        <v>91423</v>
      </c>
      <c r="B1620" s="1" t="str">
        <f t="shared" si="114"/>
        <v>31084</v>
      </c>
      <c r="C1620" s="1" t="str">
        <f>"SHERMAN OAKS"</f>
        <v>SHERMAN OAKS</v>
      </c>
      <c r="D1620" s="1" t="str">
        <f t="shared" si="115"/>
        <v>CA</v>
      </c>
      <c r="E1620" s="2">
        <v>1</v>
      </c>
      <c r="F1620" s="2">
        <v>1</v>
      </c>
      <c r="G1620" s="2">
        <v>1</v>
      </c>
      <c r="H1620" s="2">
        <v>1</v>
      </c>
    </row>
    <row r="1621" spans="1:8" x14ac:dyDescent="0.25">
      <c r="A1621" s="1" t="str">
        <f>"91016"</f>
        <v>91016</v>
      </c>
      <c r="B1621" s="1" t="str">
        <f t="shared" si="114"/>
        <v>31084</v>
      </c>
      <c r="C1621" s="1" t="str">
        <f>"MONROVIA"</f>
        <v>MONROVIA</v>
      </c>
      <c r="D1621" s="1" t="str">
        <f t="shared" si="115"/>
        <v>CA</v>
      </c>
      <c r="E1621" s="2">
        <v>1</v>
      </c>
      <c r="F1621" s="2">
        <v>1</v>
      </c>
      <c r="G1621" s="2">
        <v>1</v>
      </c>
      <c r="H1621" s="2">
        <v>1</v>
      </c>
    </row>
    <row r="1622" spans="1:8" x14ac:dyDescent="0.25">
      <c r="A1622" s="1" t="str">
        <f>"91040"</f>
        <v>91040</v>
      </c>
      <c r="B1622" s="1" t="str">
        <f t="shared" si="114"/>
        <v>31084</v>
      </c>
      <c r="C1622" s="1" t="str">
        <f>"SUNLAND"</f>
        <v>SUNLAND</v>
      </c>
      <c r="D1622" s="1" t="str">
        <f t="shared" si="115"/>
        <v>CA</v>
      </c>
      <c r="E1622" s="2">
        <v>1</v>
      </c>
      <c r="F1622" s="2">
        <v>1</v>
      </c>
      <c r="G1622" s="2">
        <v>1</v>
      </c>
      <c r="H1622" s="2">
        <v>1</v>
      </c>
    </row>
    <row r="1623" spans="1:8" x14ac:dyDescent="0.25">
      <c r="A1623" s="1" t="str">
        <f>"91202"</f>
        <v>91202</v>
      </c>
      <c r="B1623" s="1" t="str">
        <f t="shared" si="114"/>
        <v>31084</v>
      </c>
      <c r="C1623" s="1" t="str">
        <f>"GLENDALE"</f>
        <v>GLENDALE</v>
      </c>
      <c r="D1623" s="1" t="str">
        <f t="shared" si="115"/>
        <v>CA</v>
      </c>
      <c r="E1623" s="2">
        <v>1</v>
      </c>
      <c r="F1623" s="2">
        <v>1</v>
      </c>
      <c r="G1623" s="2">
        <v>1</v>
      </c>
      <c r="H1623" s="2">
        <v>1</v>
      </c>
    </row>
    <row r="1624" spans="1:8" x14ac:dyDescent="0.25">
      <c r="A1624" s="1" t="str">
        <f>"92832"</f>
        <v>92832</v>
      </c>
      <c r="B1624" s="1" t="str">
        <f>"11244"</f>
        <v>11244</v>
      </c>
      <c r="C1624" s="1" t="str">
        <f>"FULLERTON"</f>
        <v>FULLERTON</v>
      </c>
      <c r="D1624" s="1" t="str">
        <f t="shared" si="115"/>
        <v>CA</v>
      </c>
      <c r="E1624" s="2">
        <v>1</v>
      </c>
      <c r="F1624" s="2">
        <v>1</v>
      </c>
      <c r="G1624" s="2">
        <v>1</v>
      </c>
      <c r="H1624" s="2">
        <v>1</v>
      </c>
    </row>
    <row r="1625" spans="1:8" x14ac:dyDescent="0.25">
      <c r="A1625" s="1" t="str">
        <f>"92702"</f>
        <v>92702</v>
      </c>
      <c r="B1625" s="1" t="str">
        <f>"11244"</f>
        <v>11244</v>
      </c>
      <c r="C1625" s="1" t="str">
        <f>"SANTA ANA"</f>
        <v>SANTA ANA</v>
      </c>
      <c r="D1625" s="1" t="str">
        <f t="shared" si="115"/>
        <v>CA</v>
      </c>
      <c r="E1625" s="2">
        <v>1</v>
      </c>
      <c r="F1625" s="2">
        <v>1</v>
      </c>
      <c r="G1625" s="2">
        <v>1</v>
      </c>
      <c r="H1625" s="2">
        <v>1</v>
      </c>
    </row>
    <row r="1626" spans="1:8" x14ac:dyDescent="0.25">
      <c r="A1626" s="1" t="str">
        <f>"92833"</f>
        <v>92833</v>
      </c>
      <c r="B1626" s="1" t="str">
        <f>"11244"</f>
        <v>11244</v>
      </c>
      <c r="C1626" s="1" t="str">
        <f>"FULLERTON"</f>
        <v>FULLERTON</v>
      </c>
      <c r="D1626" s="1" t="str">
        <f t="shared" si="115"/>
        <v>CA</v>
      </c>
      <c r="E1626" s="2">
        <v>1</v>
      </c>
      <c r="F1626" s="2">
        <v>1</v>
      </c>
      <c r="G1626" s="2">
        <v>1</v>
      </c>
      <c r="H1626" s="2">
        <v>1</v>
      </c>
    </row>
    <row r="1627" spans="1:8" x14ac:dyDescent="0.25">
      <c r="A1627" s="1" t="str">
        <f>"94014"</f>
        <v>94014</v>
      </c>
      <c r="B1627" s="1" t="str">
        <f>"41884"</f>
        <v>41884</v>
      </c>
      <c r="C1627" s="1" t="str">
        <f>"DALY CITY"</f>
        <v>DALY CITY</v>
      </c>
      <c r="D1627" s="1" t="str">
        <f t="shared" si="115"/>
        <v>CA</v>
      </c>
      <c r="E1627" s="2">
        <v>1</v>
      </c>
      <c r="F1627" s="2">
        <v>1</v>
      </c>
      <c r="G1627" s="2">
        <v>1</v>
      </c>
      <c r="H1627" s="2">
        <v>1</v>
      </c>
    </row>
    <row r="1628" spans="1:8" x14ac:dyDescent="0.25">
      <c r="A1628" s="1" t="str">
        <f>"92648"</f>
        <v>92648</v>
      </c>
      <c r="B1628" s="1" t="str">
        <f>"11244"</f>
        <v>11244</v>
      </c>
      <c r="C1628" s="1" t="str">
        <f>"HUNTINGTON BEACH"</f>
        <v>HUNTINGTON BEACH</v>
      </c>
      <c r="D1628" s="1" t="str">
        <f t="shared" si="115"/>
        <v>CA</v>
      </c>
      <c r="E1628" s="2">
        <v>1</v>
      </c>
      <c r="F1628" s="2">
        <v>1</v>
      </c>
      <c r="G1628" s="2">
        <v>1</v>
      </c>
      <c r="H1628" s="2">
        <v>1</v>
      </c>
    </row>
    <row r="1629" spans="1:8" x14ac:dyDescent="0.25">
      <c r="A1629" s="1" t="str">
        <f>"91744"</f>
        <v>91744</v>
      </c>
      <c r="B1629" s="1" t="str">
        <f>"31084"</f>
        <v>31084</v>
      </c>
      <c r="C1629" s="1" t="str">
        <f>"LA PUENTE"</f>
        <v>LA PUENTE</v>
      </c>
      <c r="D1629" s="1" t="str">
        <f t="shared" si="115"/>
        <v>CA</v>
      </c>
      <c r="E1629" s="2">
        <v>1</v>
      </c>
      <c r="F1629" s="2">
        <v>1</v>
      </c>
      <c r="G1629" s="2">
        <v>1</v>
      </c>
      <c r="H1629" s="2">
        <v>1</v>
      </c>
    </row>
    <row r="1630" spans="1:8" x14ac:dyDescent="0.25">
      <c r="A1630" s="1" t="str">
        <f>"92835"</f>
        <v>92835</v>
      </c>
      <c r="B1630" s="1" t="str">
        <f>"11244"</f>
        <v>11244</v>
      </c>
      <c r="C1630" s="1" t="str">
        <f>"FULLERTON"</f>
        <v>FULLERTON</v>
      </c>
      <c r="D1630" s="1" t="str">
        <f t="shared" si="115"/>
        <v>CA</v>
      </c>
      <c r="E1630" s="2">
        <v>1</v>
      </c>
      <c r="F1630" s="2">
        <v>1</v>
      </c>
      <c r="G1630" s="2">
        <v>1</v>
      </c>
      <c r="H1630" s="2">
        <v>1</v>
      </c>
    </row>
    <row r="1631" spans="1:8" x14ac:dyDescent="0.25">
      <c r="A1631" s="1" t="str">
        <f>"92840"</f>
        <v>92840</v>
      </c>
      <c r="B1631" s="1" t="str">
        <f>"11244"</f>
        <v>11244</v>
      </c>
      <c r="C1631" s="1" t="str">
        <f>"GARDEN GROVE"</f>
        <v>GARDEN GROVE</v>
      </c>
      <c r="D1631" s="1" t="str">
        <f t="shared" si="115"/>
        <v>CA</v>
      </c>
      <c r="E1631" s="2">
        <v>1</v>
      </c>
      <c r="F1631" s="2">
        <v>1</v>
      </c>
      <c r="G1631" s="2">
        <v>1</v>
      </c>
      <c r="H1631" s="2">
        <v>1</v>
      </c>
    </row>
    <row r="1632" spans="1:8" x14ac:dyDescent="0.25">
      <c r="A1632" s="1" t="str">
        <f>"94110"</f>
        <v>94110</v>
      </c>
      <c r="B1632" s="1" t="str">
        <f>"41884"</f>
        <v>41884</v>
      </c>
      <c r="C1632" s="1" t="str">
        <f>"SAN FRANCISCO"</f>
        <v>SAN FRANCISCO</v>
      </c>
      <c r="D1632" s="1" t="str">
        <f t="shared" si="115"/>
        <v>CA</v>
      </c>
      <c r="E1632" s="2">
        <v>1</v>
      </c>
      <c r="F1632" s="2">
        <v>1</v>
      </c>
      <c r="G1632" s="2">
        <v>1</v>
      </c>
      <c r="H1632" s="2">
        <v>1</v>
      </c>
    </row>
    <row r="1633" spans="1:8" x14ac:dyDescent="0.25">
      <c r="A1633" s="1" t="str">
        <f>"94105"</f>
        <v>94105</v>
      </c>
      <c r="B1633" s="1" t="str">
        <f>"41884"</f>
        <v>41884</v>
      </c>
      <c r="C1633" s="1" t="str">
        <f>"SAN FRANCISCO"</f>
        <v>SAN FRANCISCO</v>
      </c>
      <c r="D1633" s="1" t="str">
        <f t="shared" si="115"/>
        <v>CA</v>
      </c>
      <c r="E1633" s="2">
        <v>1</v>
      </c>
      <c r="F1633" s="2">
        <v>1</v>
      </c>
      <c r="G1633" s="2">
        <v>1</v>
      </c>
      <c r="H1633" s="2">
        <v>1</v>
      </c>
    </row>
    <row r="1634" spans="1:8" x14ac:dyDescent="0.25">
      <c r="A1634" s="1" t="str">
        <f>"94502"</f>
        <v>94502</v>
      </c>
      <c r="B1634" s="1" t="str">
        <f>"36084"</f>
        <v>36084</v>
      </c>
      <c r="C1634" s="1" t="str">
        <f>"ALAMEDA"</f>
        <v>ALAMEDA</v>
      </c>
      <c r="D1634" s="1" t="str">
        <f t="shared" si="115"/>
        <v>CA</v>
      </c>
      <c r="E1634" s="2">
        <v>1</v>
      </c>
      <c r="F1634" s="2">
        <v>1</v>
      </c>
      <c r="G1634" s="2">
        <v>1</v>
      </c>
      <c r="H1634" s="2">
        <v>1</v>
      </c>
    </row>
    <row r="1635" spans="1:8" x14ac:dyDescent="0.25">
      <c r="A1635" s="1" t="str">
        <f>"94588"</f>
        <v>94588</v>
      </c>
      <c r="B1635" s="1" t="str">
        <f>"36084"</f>
        <v>36084</v>
      </c>
      <c r="C1635" s="1" t="str">
        <f>"PLEASANTON"</f>
        <v>PLEASANTON</v>
      </c>
      <c r="D1635" s="1" t="str">
        <f t="shared" si="115"/>
        <v>CA</v>
      </c>
      <c r="E1635" s="2">
        <v>1</v>
      </c>
      <c r="F1635" s="2">
        <v>1</v>
      </c>
      <c r="G1635" s="2">
        <v>1</v>
      </c>
      <c r="H1635" s="2">
        <v>1</v>
      </c>
    </row>
    <row r="1636" spans="1:8" x14ac:dyDescent="0.25">
      <c r="A1636" s="1" t="str">
        <f>"94608"</f>
        <v>94608</v>
      </c>
      <c r="B1636" s="1" t="str">
        <f>"36084"</f>
        <v>36084</v>
      </c>
      <c r="C1636" s="1" t="str">
        <f>"EMERYVILLE"</f>
        <v>EMERYVILLE</v>
      </c>
      <c r="D1636" s="1" t="str">
        <f t="shared" si="115"/>
        <v>CA</v>
      </c>
      <c r="E1636" s="2">
        <v>1</v>
      </c>
      <c r="F1636" s="2">
        <v>1</v>
      </c>
      <c r="G1636" s="2">
        <v>1</v>
      </c>
      <c r="H1636" s="2">
        <v>1</v>
      </c>
    </row>
    <row r="1637" spans="1:8" x14ac:dyDescent="0.25">
      <c r="A1637" s="1" t="str">
        <f>"98144"</f>
        <v>98144</v>
      </c>
      <c r="B1637" s="1" t="str">
        <f>"42644"</f>
        <v>42644</v>
      </c>
      <c r="C1637" s="1" t="str">
        <f>"SEATTLE"</f>
        <v>SEATTLE</v>
      </c>
      <c r="D1637" s="1" t="str">
        <f>"WA"</f>
        <v>WA</v>
      </c>
      <c r="E1637" s="2">
        <v>1</v>
      </c>
      <c r="F1637" s="2">
        <v>1</v>
      </c>
      <c r="G1637" s="2">
        <v>1</v>
      </c>
      <c r="H1637" s="2">
        <v>1</v>
      </c>
    </row>
    <row r="1638" spans="1:8" x14ac:dyDescent="0.25">
      <c r="A1638" s="1" t="str">
        <f>"98466"</f>
        <v>98466</v>
      </c>
      <c r="B1638" s="1" t="str">
        <f>"45104"</f>
        <v>45104</v>
      </c>
      <c r="C1638" s="1" t="str">
        <f>"TACOMA"</f>
        <v>TACOMA</v>
      </c>
      <c r="D1638" s="1" t="str">
        <f>"WA"</f>
        <v>WA</v>
      </c>
      <c r="E1638" s="2">
        <v>1</v>
      </c>
      <c r="F1638" s="2">
        <v>1</v>
      </c>
      <c r="G1638" s="2">
        <v>1</v>
      </c>
      <c r="H1638" s="2">
        <v>1</v>
      </c>
    </row>
    <row r="1639" spans="1:8" x14ac:dyDescent="0.25">
      <c r="A1639" s="1" t="str">
        <f>"98464"</f>
        <v>98464</v>
      </c>
      <c r="B1639" s="1" t="str">
        <f>"45104"</f>
        <v>45104</v>
      </c>
      <c r="C1639" s="1" t="str">
        <f>"TACOMA"</f>
        <v>TACOMA</v>
      </c>
      <c r="D1639" s="1" t="str">
        <f>"WA"</f>
        <v>WA</v>
      </c>
      <c r="E1639" s="2">
        <v>1</v>
      </c>
      <c r="F1639" s="2">
        <v>1</v>
      </c>
      <c r="G1639" s="2">
        <v>1</v>
      </c>
      <c r="H1639" s="2">
        <v>1</v>
      </c>
    </row>
    <row r="1640" spans="1:8" x14ac:dyDescent="0.25">
      <c r="A1640" s="1" t="str">
        <f>"98443"</f>
        <v>98443</v>
      </c>
      <c r="B1640" s="1" t="str">
        <f>"45104"</f>
        <v>45104</v>
      </c>
      <c r="C1640" s="1" t="str">
        <f>"TACOMA"</f>
        <v>TACOMA</v>
      </c>
      <c r="D1640" s="1" t="str">
        <f>"WA"</f>
        <v>WA</v>
      </c>
      <c r="E1640" s="2">
        <v>1</v>
      </c>
      <c r="F1640" s="2">
        <v>1</v>
      </c>
      <c r="G1640" s="2">
        <v>1</v>
      </c>
      <c r="H1640" s="2">
        <v>1</v>
      </c>
    </row>
    <row r="1641" spans="1:8" x14ac:dyDescent="0.25">
      <c r="A1641" s="1" t="str">
        <f>"01944"</f>
        <v>01944</v>
      </c>
      <c r="B1641" s="1" t="str">
        <f>"15764"</f>
        <v>15764</v>
      </c>
      <c r="C1641" s="1" t="str">
        <f>"MANCHESTER"</f>
        <v>MANCHESTER</v>
      </c>
      <c r="D1641" s="1" t="str">
        <f>"MA"</f>
        <v>MA</v>
      </c>
      <c r="E1641" s="2">
        <v>1</v>
      </c>
      <c r="F1641" s="2">
        <v>1</v>
      </c>
      <c r="G1641" s="2">
        <v>1</v>
      </c>
      <c r="H1641" s="2">
        <v>1</v>
      </c>
    </row>
    <row r="1642" spans="1:8" x14ac:dyDescent="0.25">
      <c r="A1642" s="1" t="str">
        <f>"07068"</f>
        <v>07068</v>
      </c>
      <c r="B1642" s="1" t="str">
        <f>"35084"</f>
        <v>35084</v>
      </c>
      <c r="C1642" s="1" t="str">
        <f>"ROSELAND"</f>
        <v>ROSELAND</v>
      </c>
      <c r="D1642" s="1" t="str">
        <f>"NJ"</f>
        <v>NJ</v>
      </c>
      <c r="E1642" s="2">
        <v>1</v>
      </c>
      <c r="F1642" s="2">
        <v>1</v>
      </c>
      <c r="G1642" s="2">
        <v>1</v>
      </c>
      <c r="H1642" s="2">
        <v>1</v>
      </c>
    </row>
    <row r="1643" spans="1:8" x14ac:dyDescent="0.25">
      <c r="A1643" s="1" t="str">
        <f>"07702"</f>
        <v>07702</v>
      </c>
      <c r="B1643" s="1" t="str">
        <f>"35154"</f>
        <v>35154</v>
      </c>
      <c r="C1643" s="1" t="str">
        <f>"SHREWSBURY"</f>
        <v>SHREWSBURY</v>
      </c>
      <c r="D1643" s="1" t="str">
        <f>"NJ"</f>
        <v>NJ</v>
      </c>
      <c r="E1643" s="2">
        <v>1</v>
      </c>
      <c r="F1643" s="2">
        <v>1</v>
      </c>
      <c r="G1643" s="2">
        <v>1</v>
      </c>
      <c r="H1643" s="2">
        <v>1</v>
      </c>
    </row>
    <row r="1644" spans="1:8" x14ac:dyDescent="0.25">
      <c r="A1644" s="1" t="str">
        <f>"08027"</f>
        <v>08027</v>
      </c>
      <c r="B1644" s="1" t="str">
        <f>"15804"</f>
        <v>15804</v>
      </c>
      <c r="C1644" s="1" t="str">
        <f>"GIBBSTOWN"</f>
        <v>GIBBSTOWN</v>
      </c>
      <c r="D1644" s="1" t="str">
        <f>"NJ"</f>
        <v>NJ</v>
      </c>
      <c r="E1644" s="2">
        <v>1</v>
      </c>
      <c r="F1644" s="2">
        <v>1</v>
      </c>
      <c r="G1644" s="2">
        <v>1</v>
      </c>
      <c r="H1644" s="2">
        <v>1</v>
      </c>
    </row>
    <row r="1645" spans="1:8" x14ac:dyDescent="0.25">
      <c r="A1645" s="1" t="str">
        <f>"10519"</f>
        <v>10519</v>
      </c>
      <c r="B1645" s="1" t="str">
        <f>"35614"</f>
        <v>35614</v>
      </c>
      <c r="C1645" s="1" t="str">
        <f>"CROTON FALLS"</f>
        <v>CROTON FALLS</v>
      </c>
      <c r="D1645" s="1" t="str">
        <f>"NY"</f>
        <v>NY</v>
      </c>
      <c r="E1645" s="2">
        <v>1</v>
      </c>
      <c r="F1645" s="2">
        <v>1</v>
      </c>
      <c r="G1645" s="2">
        <v>1</v>
      </c>
      <c r="H1645" s="2">
        <v>1</v>
      </c>
    </row>
    <row r="1646" spans="1:8" x14ac:dyDescent="0.25">
      <c r="A1646" s="1" t="str">
        <f>"11958"</f>
        <v>11958</v>
      </c>
      <c r="B1646" s="1" t="str">
        <f>"35004"</f>
        <v>35004</v>
      </c>
      <c r="C1646" s="1" t="str">
        <f>"PECONIC"</f>
        <v>PECONIC</v>
      </c>
      <c r="D1646" s="1" t="str">
        <f>"NY"</f>
        <v>NY</v>
      </c>
      <c r="E1646" s="2">
        <v>1</v>
      </c>
      <c r="F1646" s="2">
        <v>1</v>
      </c>
      <c r="G1646" s="2">
        <v>1</v>
      </c>
      <c r="H1646" s="2">
        <v>1</v>
      </c>
    </row>
    <row r="1647" spans="1:8" x14ac:dyDescent="0.25">
      <c r="A1647" s="1" t="str">
        <f>"20622"</f>
        <v>20622</v>
      </c>
      <c r="B1647" s="1" t="str">
        <f>"47894"</f>
        <v>47894</v>
      </c>
      <c r="C1647" s="1" t="str">
        <f>"CHARLOTTE HALL"</f>
        <v>CHARLOTTE HALL</v>
      </c>
      <c r="D1647" s="1" t="str">
        <f>"MD"</f>
        <v>MD</v>
      </c>
      <c r="E1647" s="2">
        <v>1</v>
      </c>
      <c r="F1647" s="2">
        <v>1</v>
      </c>
      <c r="G1647" s="2">
        <v>1</v>
      </c>
      <c r="H1647" s="2">
        <v>1</v>
      </c>
    </row>
    <row r="1648" spans="1:8" x14ac:dyDescent="0.25">
      <c r="A1648" s="1" t="str">
        <f>"20838"</f>
        <v>20838</v>
      </c>
      <c r="B1648" s="1" t="str">
        <f>"23224"</f>
        <v>23224</v>
      </c>
      <c r="C1648" s="1" t="str">
        <f>"BARNESVILLE"</f>
        <v>BARNESVILLE</v>
      </c>
      <c r="D1648" s="1" t="str">
        <f>"MD"</f>
        <v>MD</v>
      </c>
      <c r="E1648" s="2">
        <v>1</v>
      </c>
      <c r="F1648" s="2">
        <v>1</v>
      </c>
      <c r="G1648" s="2">
        <v>1</v>
      </c>
      <c r="H1648" s="2">
        <v>1</v>
      </c>
    </row>
    <row r="1649" spans="1:8" x14ac:dyDescent="0.25">
      <c r="A1649" s="1" t="str">
        <f>"21710"</f>
        <v>21710</v>
      </c>
      <c r="B1649" s="1" t="str">
        <f>"23224"</f>
        <v>23224</v>
      </c>
      <c r="C1649" s="1" t="str">
        <f>"ADAMSTOWN"</f>
        <v>ADAMSTOWN</v>
      </c>
      <c r="D1649" s="1" t="str">
        <f>"MD"</f>
        <v>MD</v>
      </c>
      <c r="E1649" s="2">
        <v>1</v>
      </c>
      <c r="F1649" s="2">
        <v>1</v>
      </c>
      <c r="G1649" s="2">
        <v>1</v>
      </c>
      <c r="H1649" s="2">
        <v>1</v>
      </c>
    </row>
    <row r="1650" spans="1:8" x14ac:dyDescent="0.25">
      <c r="A1650" s="1" t="str">
        <f>"33443"</f>
        <v>33443</v>
      </c>
      <c r="B1650" s="1" t="str">
        <f>"22744"</f>
        <v>22744</v>
      </c>
      <c r="C1650" s="1" t="str">
        <f>"DEERFIELD BEACH"</f>
        <v>DEERFIELD BEACH</v>
      </c>
      <c r="D1650" s="1" t="str">
        <f>"FL"</f>
        <v>FL</v>
      </c>
      <c r="E1650" s="2">
        <v>1</v>
      </c>
      <c r="F1650" s="2">
        <v>1</v>
      </c>
      <c r="G1650" s="2">
        <v>1</v>
      </c>
      <c r="H1650" s="2">
        <v>1</v>
      </c>
    </row>
    <row r="1651" spans="1:8" x14ac:dyDescent="0.25">
      <c r="A1651" s="1" t="str">
        <f>"33266"</f>
        <v>33266</v>
      </c>
      <c r="B1651" s="1" t="str">
        <f>"33124"</f>
        <v>33124</v>
      </c>
      <c r="C1651" s="1" t="str">
        <f>"MIAMI"</f>
        <v>MIAMI</v>
      </c>
      <c r="D1651" s="1" t="str">
        <f>"FL"</f>
        <v>FL</v>
      </c>
      <c r="E1651" s="2">
        <v>1</v>
      </c>
      <c r="F1651" s="2">
        <v>1</v>
      </c>
      <c r="G1651" s="2">
        <v>1</v>
      </c>
      <c r="H1651" s="2">
        <v>1</v>
      </c>
    </row>
    <row r="1652" spans="1:8" x14ac:dyDescent="0.25">
      <c r="A1652" s="1" t="str">
        <f>"76064"</f>
        <v>76064</v>
      </c>
      <c r="B1652" s="1" t="str">
        <f>"19124"</f>
        <v>19124</v>
      </c>
      <c r="C1652" s="1" t="str">
        <f>"MAYPEARL"</f>
        <v>MAYPEARL</v>
      </c>
      <c r="D1652" s="1" t="str">
        <f>"TX"</f>
        <v>TX</v>
      </c>
      <c r="E1652" s="2">
        <v>1</v>
      </c>
      <c r="F1652" s="2">
        <v>1</v>
      </c>
      <c r="G1652" s="2">
        <v>1</v>
      </c>
      <c r="H1652" s="2">
        <v>1</v>
      </c>
    </row>
    <row r="1653" spans="1:8" x14ac:dyDescent="0.25">
      <c r="A1653" s="1" t="str">
        <f>"02305"</f>
        <v>02305</v>
      </c>
      <c r="B1653" s="1" t="str">
        <f>"14454"</f>
        <v>14454</v>
      </c>
      <c r="C1653" s="1" t="str">
        <f>"BROCKTON"</f>
        <v>BROCKTON</v>
      </c>
      <c r="D1653" s="1" t="str">
        <f>"MA"</f>
        <v>MA</v>
      </c>
      <c r="E1653" s="2">
        <v>1</v>
      </c>
      <c r="F1653" s="2">
        <v>1</v>
      </c>
      <c r="G1653" s="2">
        <v>1</v>
      </c>
      <c r="H1653" s="2">
        <v>1</v>
      </c>
    </row>
    <row r="1654" spans="1:8" x14ac:dyDescent="0.25">
      <c r="A1654" s="1" t="str">
        <f>"07451"</f>
        <v>07451</v>
      </c>
      <c r="B1654" s="1" t="str">
        <f>"35614"</f>
        <v>35614</v>
      </c>
      <c r="C1654" s="1" t="str">
        <f>"RIDGEWOOD"</f>
        <v>RIDGEWOOD</v>
      </c>
      <c r="D1654" s="1" t="str">
        <f>"NJ"</f>
        <v>NJ</v>
      </c>
      <c r="E1654" s="2">
        <v>1</v>
      </c>
      <c r="F1654" s="2">
        <v>1</v>
      </c>
      <c r="G1654" s="2">
        <v>1</v>
      </c>
      <c r="H1654" s="2">
        <v>1</v>
      </c>
    </row>
    <row r="1655" spans="1:8" x14ac:dyDescent="0.25">
      <c r="A1655" s="1" t="str">
        <f>"07543"</f>
        <v>07543</v>
      </c>
      <c r="B1655" s="1" t="str">
        <f>"35614"</f>
        <v>35614</v>
      </c>
      <c r="C1655" s="1" t="str">
        <f>"PATERSON"</f>
        <v>PATERSON</v>
      </c>
      <c r="D1655" s="1" t="str">
        <f>"NJ"</f>
        <v>NJ</v>
      </c>
      <c r="E1655" s="2">
        <v>1</v>
      </c>
      <c r="F1655" s="2">
        <v>1</v>
      </c>
      <c r="G1655" s="2">
        <v>1</v>
      </c>
      <c r="H1655" s="2">
        <v>1</v>
      </c>
    </row>
    <row r="1656" spans="1:8" x14ac:dyDescent="0.25">
      <c r="A1656" s="1" t="str">
        <f>"20045"</f>
        <v>20045</v>
      </c>
      <c r="B1656" s="1" t="str">
        <f>"47894"</f>
        <v>47894</v>
      </c>
      <c r="C1656" s="1" t="str">
        <f>"WASHINGTON"</f>
        <v>WASHINGTON</v>
      </c>
      <c r="D1656" s="1" t="str">
        <f>"DC"</f>
        <v>DC</v>
      </c>
      <c r="E1656" s="2">
        <v>0</v>
      </c>
      <c r="F1656" s="2">
        <v>1</v>
      </c>
      <c r="G1656" s="2">
        <v>1</v>
      </c>
      <c r="H1656" s="2">
        <v>1</v>
      </c>
    </row>
    <row r="1657" spans="1:8" x14ac:dyDescent="0.25">
      <c r="A1657" s="1" t="str">
        <f>"22640"</f>
        <v>22640</v>
      </c>
      <c r="B1657" s="1" t="str">
        <f>"47894"</f>
        <v>47894</v>
      </c>
      <c r="C1657" s="1" t="str">
        <f>"HUNTLY"</f>
        <v>HUNTLY</v>
      </c>
      <c r="D1657" s="1" t="str">
        <f>"VA"</f>
        <v>VA</v>
      </c>
      <c r="E1657" s="2">
        <v>1</v>
      </c>
      <c r="F1657" s="2">
        <v>1</v>
      </c>
      <c r="G1657" s="2">
        <v>0</v>
      </c>
      <c r="H1657" s="2">
        <v>1</v>
      </c>
    </row>
    <row r="1658" spans="1:8" x14ac:dyDescent="0.25">
      <c r="A1658" s="1" t="str">
        <f>"08032"</f>
        <v>08032</v>
      </c>
      <c r="B1658" s="1" t="str">
        <f>"15804"</f>
        <v>15804</v>
      </c>
      <c r="C1658" s="1" t="str">
        <f>"GRENLOCH"</f>
        <v>GRENLOCH</v>
      </c>
      <c r="D1658" s="1" t="str">
        <f>"NJ"</f>
        <v>NJ</v>
      </c>
      <c r="E1658" s="2">
        <v>1</v>
      </c>
      <c r="F1658" s="2">
        <v>0</v>
      </c>
      <c r="G1658" s="2">
        <v>1</v>
      </c>
      <c r="H1658" s="2">
        <v>1</v>
      </c>
    </row>
    <row r="1659" spans="1:8" x14ac:dyDescent="0.25">
      <c r="A1659" s="1" t="str">
        <f>"10276"</f>
        <v>10276</v>
      </c>
      <c r="B1659" s="1" t="str">
        <f>"35614"</f>
        <v>35614</v>
      </c>
      <c r="C1659" s="1" t="str">
        <f>"NEW YORK"</f>
        <v>NEW YORK</v>
      </c>
      <c r="D1659" s="1" t="str">
        <f>"NY"</f>
        <v>NY</v>
      </c>
      <c r="E1659" s="2">
        <v>1</v>
      </c>
      <c r="F1659" s="2">
        <v>1</v>
      </c>
      <c r="G1659" s="2">
        <v>1</v>
      </c>
      <c r="H1659" s="2">
        <v>1</v>
      </c>
    </row>
    <row r="1660" spans="1:8" x14ac:dyDescent="0.25">
      <c r="A1660" s="1" t="str">
        <f>"20860"</f>
        <v>20860</v>
      </c>
      <c r="B1660" s="1" t="str">
        <f>"23224"</f>
        <v>23224</v>
      </c>
      <c r="C1660" s="1" t="str">
        <f>"SANDY SPRING"</f>
        <v>SANDY SPRING</v>
      </c>
      <c r="D1660" s="1" t="str">
        <f>"MD"</f>
        <v>MD</v>
      </c>
      <c r="E1660" s="2">
        <v>1</v>
      </c>
      <c r="F1660" s="2">
        <v>1</v>
      </c>
      <c r="G1660" s="2">
        <v>1</v>
      </c>
      <c r="H1660" s="2">
        <v>1</v>
      </c>
    </row>
    <row r="1661" spans="1:8" x14ac:dyDescent="0.25">
      <c r="A1661" s="1" t="str">
        <f>"60454"</f>
        <v>60454</v>
      </c>
      <c r="B1661" s="1" t="str">
        <f>"16984"</f>
        <v>16984</v>
      </c>
      <c r="C1661" s="1" t="str">
        <f>"OAK LAWN"</f>
        <v>OAK LAWN</v>
      </c>
      <c r="D1661" s="1" t="str">
        <f>"IL"</f>
        <v>IL</v>
      </c>
      <c r="E1661" s="2">
        <v>1</v>
      </c>
      <c r="F1661" s="2">
        <v>1</v>
      </c>
      <c r="G1661" s="2">
        <v>1</v>
      </c>
      <c r="H1661" s="2">
        <v>1</v>
      </c>
    </row>
    <row r="1662" spans="1:8" x14ac:dyDescent="0.25">
      <c r="A1662" s="1" t="str">
        <f>"91714"</f>
        <v>91714</v>
      </c>
      <c r="B1662" s="1" t="str">
        <f>"31084"</f>
        <v>31084</v>
      </c>
      <c r="C1662" s="1" t="str">
        <f>"CITY OF INDUSTRY"</f>
        <v>CITY OF INDUSTRY</v>
      </c>
      <c r="D1662" s="1" t="str">
        <f>"CA"</f>
        <v>CA</v>
      </c>
      <c r="E1662" s="2">
        <v>0</v>
      </c>
      <c r="F1662" s="2">
        <v>0</v>
      </c>
      <c r="G1662" s="2">
        <v>1</v>
      </c>
      <c r="H1662" s="2">
        <v>1</v>
      </c>
    </row>
    <row r="1663" spans="1:8" x14ac:dyDescent="0.25">
      <c r="A1663" s="1" t="str">
        <f>"11765"</f>
        <v>11765</v>
      </c>
      <c r="B1663" s="1" t="str">
        <f>"35004"</f>
        <v>35004</v>
      </c>
      <c r="C1663" s="1" t="str">
        <f>"MILL NECK"</f>
        <v>MILL NECK</v>
      </c>
      <c r="D1663" s="1" t="str">
        <f>"NY"</f>
        <v>NY</v>
      </c>
      <c r="E1663" s="2">
        <v>1</v>
      </c>
      <c r="F1663" s="2">
        <v>1</v>
      </c>
      <c r="G1663" s="2">
        <v>1</v>
      </c>
      <c r="H1663" s="2">
        <v>1</v>
      </c>
    </row>
    <row r="1664" spans="1:8" x14ac:dyDescent="0.25">
      <c r="A1664" s="1" t="str">
        <f>"33245"</f>
        <v>33245</v>
      </c>
      <c r="B1664" s="1" t="str">
        <f>"33124"</f>
        <v>33124</v>
      </c>
      <c r="C1664" s="1" t="str">
        <f>"MIAMI"</f>
        <v>MIAMI</v>
      </c>
      <c r="D1664" s="1" t="str">
        <f>"FL"</f>
        <v>FL</v>
      </c>
      <c r="E1664" s="2">
        <v>1</v>
      </c>
      <c r="F1664" s="2">
        <v>1</v>
      </c>
      <c r="G1664" s="2">
        <v>1</v>
      </c>
      <c r="H1664" s="2">
        <v>1</v>
      </c>
    </row>
    <row r="1665" spans="1:8" x14ac:dyDescent="0.25">
      <c r="A1665" s="1" t="str">
        <f>"98411"</f>
        <v>98411</v>
      </c>
      <c r="B1665" s="1" t="str">
        <f>"45104"</f>
        <v>45104</v>
      </c>
      <c r="C1665" s="1" t="str">
        <f>"TACOMA"</f>
        <v>TACOMA</v>
      </c>
      <c r="D1665" s="1" t="str">
        <f>"WA"</f>
        <v>WA</v>
      </c>
      <c r="E1665" s="2">
        <v>1</v>
      </c>
      <c r="F1665" s="2">
        <v>1</v>
      </c>
      <c r="G1665" s="2">
        <v>1</v>
      </c>
      <c r="H1665" s="2">
        <v>1</v>
      </c>
    </row>
    <row r="1666" spans="1:8" x14ac:dyDescent="0.25">
      <c r="A1666" s="1" t="str">
        <f>"07507"</f>
        <v>07507</v>
      </c>
      <c r="B1666" s="1" t="str">
        <f>"35614"</f>
        <v>35614</v>
      </c>
      <c r="C1666" s="1" t="str">
        <f>"HAWTHORNE"</f>
        <v>HAWTHORNE</v>
      </c>
      <c r="D1666" s="1" t="str">
        <f>"NJ"</f>
        <v>NJ</v>
      </c>
      <c r="E1666" s="2">
        <v>1</v>
      </c>
      <c r="F1666" s="2">
        <v>1</v>
      </c>
      <c r="G1666" s="2">
        <v>1</v>
      </c>
      <c r="H1666" s="2">
        <v>1</v>
      </c>
    </row>
    <row r="1667" spans="1:8" x14ac:dyDescent="0.25">
      <c r="A1667" s="1" t="str">
        <f>"90050"</f>
        <v>90050</v>
      </c>
      <c r="B1667" s="1" t="str">
        <f>"31084"</f>
        <v>31084</v>
      </c>
      <c r="C1667" s="1" t="str">
        <f>"LOS ANGELES"</f>
        <v>LOS ANGELES</v>
      </c>
      <c r="D1667" s="1" t="str">
        <f>"CA"</f>
        <v>CA</v>
      </c>
      <c r="E1667" s="2">
        <v>1</v>
      </c>
      <c r="F1667" s="2">
        <v>1</v>
      </c>
      <c r="G1667" s="2">
        <v>1</v>
      </c>
      <c r="H1667" s="2">
        <v>1</v>
      </c>
    </row>
    <row r="1668" spans="1:8" x14ac:dyDescent="0.25">
      <c r="A1668" s="1" t="str">
        <f>"94712"</f>
        <v>94712</v>
      </c>
      <c r="B1668" s="1" t="str">
        <f>"36084"</f>
        <v>36084</v>
      </c>
      <c r="C1668" s="1" t="str">
        <f>"BERKELEY"</f>
        <v>BERKELEY</v>
      </c>
      <c r="D1668" s="1" t="str">
        <f>"CA"</f>
        <v>CA</v>
      </c>
      <c r="E1668" s="2">
        <v>1</v>
      </c>
      <c r="F1668" s="2">
        <v>1</v>
      </c>
      <c r="G1668" s="2">
        <v>1</v>
      </c>
      <c r="H1668" s="2">
        <v>1</v>
      </c>
    </row>
    <row r="1669" spans="1:8" x14ac:dyDescent="0.25">
      <c r="A1669" s="1" t="str">
        <f>"20202"</f>
        <v>20202</v>
      </c>
      <c r="B1669" s="1" t="str">
        <f>"47894"</f>
        <v>47894</v>
      </c>
      <c r="C1669" s="1" t="str">
        <f>"WASHINGTON"</f>
        <v>WASHINGTON</v>
      </c>
      <c r="D1669" s="1" t="str">
        <f>"DC"</f>
        <v>DC</v>
      </c>
      <c r="E1669" s="2">
        <v>0</v>
      </c>
      <c r="F1669" s="2">
        <v>1</v>
      </c>
      <c r="G1669" s="2">
        <v>1</v>
      </c>
      <c r="H1669" s="2">
        <v>1</v>
      </c>
    </row>
    <row r="1670" spans="1:8" x14ac:dyDescent="0.25">
      <c r="A1670" s="1" t="str">
        <f>"20522"</f>
        <v>20522</v>
      </c>
      <c r="B1670" s="1" t="str">
        <f>"47894"</f>
        <v>47894</v>
      </c>
      <c r="C1670" s="1" t="str">
        <f>"WASHINGTON"</f>
        <v>WASHINGTON</v>
      </c>
      <c r="D1670" s="1" t="str">
        <f>"DC"</f>
        <v>DC</v>
      </c>
      <c r="E1670" s="2">
        <v>0</v>
      </c>
      <c r="F1670" s="2">
        <v>1</v>
      </c>
      <c r="G1670" s="2">
        <v>1</v>
      </c>
      <c r="H1670" s="2">
        <v>1</v>
      </c>
    </row>
    <row r="1671" spans="1:8" x14ac:dyDescent="0.25">
      <c r="A1671" s="1" t="str">
        <f>"18934"</f>
        <v>18934</v>
      </c>
      <c r="B1671" s="1" t="str">
        <f>"33874"</f>
        <v>33874</v>
      </c>
      <c r="C1671" s="1" t="str">
        <f>"MECHANICSVILLE"</f>
        <v>MECHANICSVILLE</v>
      </c>
      <c r="D1671" s="1" t="str">
        <f>"PA"</f>
        <v>PA</v>
      </c>
      <c r="E1671" s="2">
        <v>1</v>
      </c>
      <c r="F1671" s="2">
        <v>1</v>
      </c>
      <c r="G1671" s="2">
        <v>1</v>
      </c>
      <c r="H1671" s="2">
        <v>1</v>
      </c>
    </row>
    <row r="1672" spans="1:8" x14ac:dyDescent="0.25">
      <c r="A1672" s="1" t="str">
        <f>"11947"</f>
        <v>11947</v>
      </c>
      <c r="B1672" s="1" t="str">
        <f>"35004"</f>
        <v>35004</v>
      </c>
      <c r="C1672" s="1" t="str">
        <f>"JAMESPORT"</f>
        <v>JAMESPORT</v>
      </c>
      <c r="D1672" s="1" t="str">
        <f>"NY"</f>
        <v>NY</v>
      </c>
      <c r="E1672" s="2">
        <v>1</v>
      </c>
      <c r="F1672" s="2">
        <v>0</v>
      </c>
      <c r="G1672" s="2">
        <v>1</v>
      </c>
      <c r="H1672" s="2">
        <v>1</v>
      </c>
    </row>
    <row r="1673" spans="1:8" x14ac:dyDescent="0.25">
      <c r="A1673" s="1" t="str">
        <f>"94978"</f>
        <v>94978</v>
      </c>
      <c r="B1673" s="1" t="str">
        <f>"42034"</f>
        <v>42034</v>
      </c>
      <c r="C1673" s="1" t="str">
        <f>"FAIRFAX"</f>
        <v>FAIRFAX</v>
      </c>
      <c r="D1673" s="1" t="str">
        <f>"CA"</f>
        <v>CA</v>
      </c>
      <c r="E1673" s="2">
        <v>1</v>
      </c>
      <c r="F1673" s="2">
        <v>1</v>
      </c>
      <c r="G1673" s="2">
        <v>1</v>
      </c>
      <c r="H1673" s="2">
        <v>1</v>
      </c>
    </row>
    <row r="1674" spans="1:8" x14ac:dyDescent="0.25">
      <c r="A1674" s="1" t="str">
        <f>"20891"</f>
        <v>20891</v>
      </c>
      <c r="B1674" s="1" t="str">
        <f>"23224"</f>
        <v>23224</v>
      </c>
      <c r="C1674" s="1" t="str">
        <f>"KENSINGTON"</f>
        <v>KENSINGTON</v>
      </c>
      <c r="D1674" s="1" t="str">
        <f>"MD"</f>
        <v>MD</v>
      </c>
      <c r="E1674" s="2">
        <v>1</v>
      </c>
      <c r="F1674" s="2">
        <v>1</v>
      </c>
      <c r="G1674" s="2">
        <v>1</v>
      </c>
      <c r="H1674" s="2">
        <v>1</v>
      </c>
    </row>
    <row r="1675" spans="1:8" x14ac:dyDescent="0.25">
      <c r="A1675" s="1" t="str">
        <f>"60685"</f>
        <v>60685</v>
      </c>
      <c r="B1675" s="1" t="str">
        <f>"16984"</f>
        <v>16984</v>
      </c>
      <c r="C1675" s="1" t="str">
        <f>"CHICAGO"</f>
        <v>CHICAGO</v>
      </c>
      <c r="D1675" s="1" t="str">
        <f>"IL"</f>
        <v>IL</v>
      </c>
      <c r="E1675" s="2">
        <v>0</v>
      </c>
      <c r="F1675" s="2">
        <v>0</v>
      </c>
      <c r="G1675" s="2">
        <v>1</v>
      </c>
      <c r="H1675" s="2">
        <v>1</v>
      </c>
    </row>
    <row r="1676" spans="1:8" x14ac:dyDescent="0.25">
      <c r="A1676" s="1" t="str">
        <f>"75390"</f>
        <v>75390</v>
      </c>
      <c r="B1676" s="1" t="str">
        <f>"19124"</f>
        <v>19124</v>
      </c>
      <c r="C1676" s="1" t="str">
        <f>"DALLAS"</f>
        <v>DALLAS</v>
      </c>
      <c r="D1676" s="1" t="str">
        <f>"TX"</f>
        <v>TX</v>
      </c>
      <c r="E1676" s="2">
        <v>0</v>
      </c>
      <c r="F1676" s="2">
        <v>1</v>
      </c>
      <c r="G1676" s="2">
        <v>0</v>
      </c>
      <c r="H1676" s="2">
        <v>1</v>
      </c>
    </row>
    <row r="1677" spans="1:8" x14ac:dyDescent="0.25">
      <c r="A1677" s="1" t="str">
        <f>"98430"</f>
        <v>98430</v>
      </c>
      <c r="B1677" s="1" t="str">
        <f>"45104"</f>
        <v>45104</v>
      </c>
      <c r="C1677" s="1" t="str">
        <f>"CAMP MURRAY"</f>
        <v>CAMP MURRAY</v>
      </c>
      <c r="D1677" s="1" t="str">
        <f>"WA"</f>
        <v>WA</v>
      </c>
      <c r="E1677" s="2">
        <v>0</v>
      </c>
      <c r="F1677" s="2">
        <v>1</v>
      </c>
      <c r="G1677" s="2">
        <v>1</v>
      </c>
      <c r="H1677" s="2">
        <v>1</v>
      </c>
    </row>
    <row r="1678" spans="1:8" x14ac:dyDescent="0.25">
      <c r="A1678" s="1" t="str">
        <f>"20442"</f>
        <v>20442</v>
      </c>
      <c r="B1678" s="1" t="str">
        <f>"47894"</f>
        <v>47894</v>
      </c>
      <c r="C1678" s="1" t="str">
        <f>"WASHINGTON"</f>
        <v>WASHINGTON</v>
      </c>
      <c r="D1678" s="1" t="str">
        <f>"DC"</f>
        <v>DC</v>
      </c>
      <c r="E1678" s="2">
        <v>0</v>
      </c>
      <c r="F1678" s="2">
        <v>1</v>
      </c>
      <c r="G1678" s="2">
        <v>0</v>
      </c>
      <c r="H1678" s="2">
        <v>1</v>
      </c>
    </row>
    <row r="1679" spans="1:8" x14ac:dyDescent="0.25">
      <c r="A1679" s="1" t="str">
        <f>"98293"</f>
        <v>98293</v>
      </c>
      <c r="B1679" s="1" t="str">
        <f>"42644"</f>
        <v>42644</v>
      </c>
      <c r="C1679" s="1" t="str">
        <f>"STARTUP"</f>
        <v>STARTUP</v>
      </c>
      <c r="D1679" s="1" t="str">
        <f>"WA"</f>
        <v>WA</v>
      </c>
      <c r="E1679" s="2">
        <v>1</v>
      </c>
      <c r="F1679" s="2">
        <v>1</v>
      </c>
      <c r="G1679" s="2">
        <v>0</v>
      </c>
      <c r="H1679" s="2">
        <v>1</v>
      </c>
    </row>
    <row r="1680" spans="1:8" x14ac:dyDescent="0.25">
      <c r="A1680" s="1" t="str">
        <f>"94974"</f>
        <v>94974</v>
      </c>
      <c r="B1680" s="1" t="str">
        <f>"42034"</f>
        <v>42034</v>
      </c>
      <c r="C1680" s="1" t="str">
        <f>"SAN QUENTIN"</f>
        <v>SAN QUENTIN</v>
      </c>
      <c r="D1680" s="1" t="str">
        <f>"CA"</f>
        <v>CA</v>
      </c>
      <c r="E1680" s="2">
        <v>0</v>
      </c>
      <c r="F1680" s="2">
        <v>1</v>
      </c>
      <c r="G1680" s="2">
        <v>0</v>
      </c>
      <c r="H1680" s="2">
        <v>1</v>
      </c>
    </row>
    <row r="1681" spans="1:8" x14ac:dyDescent="0.25">
      <c r="A1681" s="1" t="str">
        <f>"98937"</f>
        <v>98937</v>
      </c>
      <c r="B1681" s="1" t="str">
        <f>"45104"</f>
        <v>45104</v>
      </c>
      <c r="C1681" s="1" t="str">
        <f>"NACHES"</f>
        <v>NACHES</v>
      </c>
      <c r="D1681" s="1" t="str">
        <f>"WA"</f>
        <v>WA</v>
      </c>
      <c r="E1681" s="2">
        <v>1</v>
      </c>
      <c r="F1681" s="2">
        <v>0</v>
      </c>
      <c r="G1681" s="2">
        <v>0</v>
      </c>
      <c r="H1681" s="2">
        <v>1</v>
      </c>
    </row>
    <row r="1682" spans="1:8" x14ac:dyDescent="0.25">
      <c r="A1682" s="1" t="str">
        <f>"76061"</f>
        <v>76061</v>
      </c>
      <c r="B1682" s="1" t="str">
        <f>"23104"</f>
        <v>23104</v>
      </c>
      <c r="C1682" s="1" t="str">
        <f>"LILLIAN"</f>
        <v>LILLIAN</v>
      </c>
      <c r="D1682" s="1" t="str">
        <f>"TX"</f>
        <v>TX</v>
      </c>
      <c r="E1682" s="2">
        <v>1</v>
      </c>
      <c r="F1682" s="2">
        <v>0</v>
      </c>
      <c r="G1682" s="2">
        <v>0</v>
      </c>
      <c r="H1682" s="2">
        <v>1</v>
      </c>
    </row>
    <row r="1683" spans="1:8" x14ac:dyDescent="0.25">
      <c r="A1683" s="1" t="str">
        <f>"98282"</f>
        <v>98282</v>
      </c>
      <c r="B1683" s="1" t="str">
        <f>"42644"</f>
        <v>42644</v>
      </c>
      <c r="C1683" s="1" t="str">
        <f>"CAMANO ISLAND"</f>
        <v>CAMANO ISLAND</v>
      </c>
      <c r="D1683" s="1" t="str">
        <f>"WA"</f>
        <v>WA</v>
      </c>
      <c r="E1683" s="2">
        <v>1</v>
      </c>
      <c r="F1683" s="2">
        <v>0</v>
      </c>
      <c r="G1683" s="2">
        <v>0</v>
      </c>
      <c r="H1683" s="2">
        <v>1</v>
      </c>
    </row>
    <row r="1684" spans="1:8" x14ac:dyDescent="0.25">
      <c r="A1684" s="1" t="str">
        <f>"90895"</f>
        <v>90895</v>
      </c>
      <c r="B1684" s="1" t="str">
        <f>"31084"</f>
        <v>31084</v>
      </c>
      <c r="C1684" s="1" t="str">
        <f>"CARSON"</f>
        <v>CARSON</v>
      </c>
      <c r="D1684" s="1" t="str">
        <f>"CA"</f>
        <v>CA</v>
      </c>
      <c r="E1684" s="2">
        <v>0</v>
      </c>
      <c r="F1684" s="2">
        <v>1</v>
      </c>
      <c r="G1684" s="2">
        <v>0</v>
      </c>
      <c r="H1684" s="2">
        <v>1</v>
      </c>
    </row>
    <row r="1685" spans="1:8" x14ac:dyDescent="0.25">
      <c r="A1685" s="1" t="str">
        <f>"20538"</f>
        <v>20538</v>
      </c>
      <c r="B1685" s="1" t="str">
        <f>"47894"</f>
        <v>47894</v>
      </c>
      <c r="C1685" s="1" t="str">
        <f>"WASHINGTON"</f>
        <v>WASHINGTON</v>
      </c>
      <c r="D1685" s="1" t="str">
        <f>"DC"</f>
        <v>DC</v>
      </c>
      <c r="E1685" s="2">
        <v>0</v>
      </c>
      <c r="F1685" s="2">
        <v>1</v>
      </c>
      <c r="G1685" s="2">
        <v>0</v>
      </c>
      <c r="H1685" s="2">
        <v>1</v>
      </c>
    </row>
    <row r="1686" spans="1:8" x14ac:dyDescent="0.25">
      <c r="A1686" s="1" t="str">
        <f>"01951"</f>
        <v>01951</v>
      </c>
      <c r="B1686" s="1" t="str">
        <f>"15764"</f>
        <v>15764</v>
      </c>
      <c r="C1686" s="1" t="str">
        <f>"NEWBURY"</f>
        <v>NEWBURY</v>
      </c>
      <c r="D1686" s="1" t="str">
        <f t="shared" ref="D1686:D1692" si="116">"MA"</f>
        <v>MA</v>
      </c>
      <c r="E1686" s="2">
        <v>1</v>
      </c>
      <c r="F1686" s="2">
        <v>1</v>
      </c>
      <c r="G1686" s="2">
        <v>1</v>
      </c>
      <c r="H1686" s="2">
        <v>1</v>
      </c>
    </row>
    <row r="1687" spans="1:8" x14ac:dyDescent="0.25">
      <c r="A1687" s="1" t="str">
        <f>"02030"</f>
        <v>02030</v>
      </c>
      <c r="B1687" s="1" t="str">
        <f>"14454"</f>
        <v>14454</v>
      </c>
      <c r="C1687" s="1" t="str">
        <f>"DOVER"</f>
        <v>DOVER</v>
      </c>
      <c r="D1687" s="1" t="str">
        <f t="shared" si="116"/>
        <v>MA</v>
      </c>
      <c r="E1687" s="2">
        <v>0.99770114942528698</v>
      </c>
      <c r="F1687" s="2">
        <v>1</v>
      </c>
      <c r="G1687" s="2">
        <v>1</v>
      </c>
      <c r="H1687" s="2">
        <v>0.99783939503060803</v>
      </c>
    </row>
    <row r="1688" spans="1:8" x14ac:dyDescent="0.25">
      <c r="A1688" s="1" t="str">
        <f>"02030"</f>
        <v>02030</v>
      </c>
      <c r="B1688" s="1" t="str">
        <f>"15764"</f>
        <v>15764</v>
      </c>
      <c r="C1688" s="1" t="str">
        <f>"DOVER"</f>
        <v>DOVER</v>
      </c>
      <c r="D1688" s="1" t="str">
        <f t="shared" si="116"/>
        <v>MA</v>
      </c>
      <c r="E1688" s="2">
        <v>2.2988505747126402E-3</v>
      </c>
      <c r="F1688" s="2">
        <v>0</v>
      </c>
      <c r="G1688" s="2">
        <v>0</v>
      </c>
      <c r="H1688" s="2">
        <v>2.16060496939142E-3</v>
      </c>
    </row>
    <row r="1689" spans="1:8" x14ac:dyDescent="0.25">
      <c r="A1689" s="1" t="str">
        <f>"02090"</f>
        <v>02090</v>
      </c>
      <c r="B1689" s="1" t="str">
        <f>"14454"</f>
        <v>14454</v>
      </c>
      <c r="C1689" s="1" t="str">
        <f>"WESTWOOD"</f>
        <v>WESTWOOD</v>
      </c>
      <c r="D1689" s="1" t="str">
        <f t="shared" si="116"/>
        <v>MA</v>
      </c>
      <c r="E1689" s="2">
        <v>1</v>
      </c>
      <c r="F1689" s="2">
        <v>1</v>
      </c>
      <c r="G1689" s="2">
        <v>1</v>
      </c>
      <c r="H1689" s="2">
        <v>1</v>
      </c>
    </row>
    <row r="1690" spans="1:8" x14ac:dyDescent="0.25">
      <c r="A1690" s="1" t="str">
        <f>"02151"</f>
        <v>02151</v>
      </c>
      <c r="B1690" s="1" t="str">
        <f>"14454"</f>
        <v>14454</v>
      </c>
      <c r="C1690" s="1" t="str">
        <f>"REVERE"</f>
        <v>REVERE</v>
      </c>
      <c r="D1690" s="1" t="str">
        <f t="shared" si="116"/>
        <v>MA</v>
      </c>
      <c r="E1690" s="2">
        <v>0.99983818115619505</v>
      </c>
      <c r="F1690" s="2">
        <v>1</v>
      </c>
      <c r="G1690" s="2">
        <v>1</v>
      </c>
      <c r="H1690" s="2">
        <v>0.99985735173495904</v>
      </c>
    </row>
    <row r="1691" spans="1:8" x14ac:dyDescent="0.25">
      <c r="A1691" s="1" t="str">
        <f>"02151"</f>
        <v>02151</v>
      </c>
      <c r="B1691" s="1" t="str">
        <f>"15764"</f>
        <v>15764</v>
      </c>
      <c r="C1691" s="1" t="str">
        <f>"REVERE"</f>
        <v>REVERE</v>
      </c>
      <c r="D1691" s="1" t="str">
        <f t="shared" si="116"/>
        <v>MA</v>
      </c>
      <c r="E1691" s="2">
        <v>1.6181884380436101E-4</v>
      </c>
      <c r="F1691" s="2">
        <v>0</v>
      </c>
      <c r="G1691" s="2">
        <v>0</v>
      </c>
      <c r="H1691" s="2">
        <v>1.42648265040476E-4</v>
      </c>
    </row>
    <row r="1692" spans="1:8" x14ac:dyDescent="0.25">
      <c r="A1692" s="1" t="str">
        <f>"02140"</f>
        <v>02140</v>
      </c>
      <c r="B1692" s="1" t="str">
        <f>"15764"</f>
        <v>15764</v>
      </c>
      <c r="C1692" s="1" t="str">
        <f>"CAMBRIDGE"</f>
        <v>CAMBRIDGE</v>
      </c>
      <c r="D1692" s="1" t="str">
        <f t="shared" si="116"/>
        <v>MA</v>
      </c>
      <c r="E1692" s="2">
        <v>1</v>
      </c>
      <c r="F1692" s="2">
        <v>1</v>
      </c>
      <c r="G1692" s="2">
        <v>1</v>
      </c>
      <c r="H1692" s="2">
        <v>1</v>
      </c>
    </row>
    <row r="1693" spans="1:8" x14ac:dyDescent="0.25">
      <c r="A1693" s="1" t="str">
        <f>"03842"</f>
        <v>03842</v>
      </c>
      <c r="B1693" s="1" t="str">
        <f>"40484"</f>
        <v>40484</v>
      </c>
      <c r="C1693" s="1" t="str">
        <f>"HAMPTON"</f>
        <v>HAMPTON</v>
      </c>
      <c r="D1693" s="1" t="str">
        <f>"NH"</f>
        <v>NH</v>
      </c>
      <c r="E1693" s="2">
        <v>1</v>
      </c>
      <c r="F1693" s="2">
        <v>1</v>
      </c>
      <c r="G1693" s="2">
        <v>1</v>
      </c>
      <c r="H1693" s="2">
        <v>1</v>
      </c>
    </row>
    <row r="1694" spans="1:8" x14ac:dyDescent="0.25">
      <c r="A1694" s="1" t="str">
        <f>"03844"</f>
        <v>03844</v>
      </c>
      <c r="B1694" s="1" t="str">
        <f>"40484"</f>
        <v>40484</v>
      </c>
      <c r="C1694" s="1" t="str">
        <f>"HAMPTON FALLS"</f>
        <v>HAMPTON FALLS</v>
      </c>
      <c r="D1694" s="1" t="str">
        <f>"NH"</f>
        <v>NH</v>
      </c>
      <c r="E1694" s="2">
        <v>1</v>
      </c>
      <c r="F1694" s="2">
        <v>1</v>
      </c>
      <c r="G1694" s="2">
        <v>1</v>
      </c>
      <c r="H1694" s="2">
        <v>1</v>
      </c>
    </row>
    <row r="1695" spans="1:8" x14ac:dyDescent="0.25">
      <c r="A1695" s="1" t="str">
        <f>"03862"</f>
        <v>03862</v>
      </c>
      <c r="B1695" s="1" t="str">
        <f>"40484"</f>
        <v>40484</v>
      </c>
      <c r="C1695" s="1" t="str">
        <f>"NORTH HAMPTON"</f>
        <v>NORTH HAMPTON</v>
      </c>
      <c r="D1695" s="1" t="str">
        <f>"NH"</f>
        <v>NH</v>
      </c>
      <c r="E1695" s="2">
        <v>1</v>
      </c>
      <c r="F1695" s="2">
        <v>1</v>
      </c>
      <c r="G1695" s="2">
        <v>1</v>
      </c>
      <c r="H1695" s="2">
        <v>1</v>
      </c>
    </row>
    <row r="1696" spans="1:8" x14ac:dyDescent="0.25">
      <c r="A1696" s="1" t="str">
        <f>"07002"</f>
        <v>07002</v>
      </c>
      <c r="B1696" s="1" t="str">
        <f>"35614"</f>
        <v>35614</v>
      </c>
      <c r="C1696" s="1" t="str">
        <f>"BAYONNE"</f>
        <v>BAYONNE</v>
      </c>
      <c r="D1696" s="1" t="str">
        <f t="shared" ref="D1696:D1721" si="117">"NJ"</f>
        <v>NJ</v>
      </c>
      <c r="E1696" s="2">
        <v>1</v>
      </c>
      <c r="F1696" s="2">
        <v>1</v>
      </c>
      <c r="G1696" s="2">
        <v>1</v>
      </c>
      <c r="H1696" s="2">
        <v>1</v>
      </c>
    </row>
    <row r="1697" spans="1:8" x14ac:dyDescent="0.25">
      <c r="A1697" s="1" t="str">
        <f>"07004"</f>
        <v>07004</v>
      </c>
      <c r="B1697" s="1" t="str">
        <f>"35084"</f>
        <v>35084</v>
      </c>
      <c r="C1697" s="1" t="str">
        <f>"FAIRFIELD"</f>
        <v>FAIRFIELD</v>
      </c>
      <c r="D1697" s="1" t="str">
        <f t="shared" si="117"/>
        <v>NJ</v>
      </c>
      <c r="E1697" s="2">
        <v>1</v>
      </c>
      <c r="F1697" s="2">
        <v>1</v>
      </c>
      <c r="G1697" s="2">
        <v>1</v>
      </c>
      <c r="H1697" s="2">
        <v>1</v>
      </c>
    </row>
    <row r="1698" spans="1:8" x14ac:dyDescent="0.25">
      <c r="A1698" s="1" t="str">
        <f>"07024"</f>
        <v>07024</v>
      </c>
      <c r="B1698" s="1" t="str">
        <f>"35614"</f>
        <v>35614</v>
      </c>
      <c r="C1698" s="1" t="str">
        <f>"FORT LEE"</f>
        <v>FORT LEE</v>
      </c>
      <c r="D1698" s="1" t="str">
        <f t="shared" si="117"/>
        <v>NJ</v>
      </c>
      <c r="E1698" s="2">
        <v>1</v>
      </c>
      <c r="F1698" s="2">
        <v>1</v>
      </c>
      <c r="G1698" s="2">
        <v>1</v>
      </c>
      <c r="H1698" s="2">
        <v>1</v>
      </c>
    </row>
    <row r="1699" spans="1:8" x14ac:dyDescent="0.25">
      <c r="A1699" s="1" t="str">
        <f>"07079"</f>
        <v>07079</v>
      </c>
      <c r="B1699" s="1" t="str">
        <f>"35084"</f>
        <v>35084</v>
      </c>
      <c r="C1699" s="1" t="str">
        <f>"SOUTH ORANGE"</f>
        <v>SOUTH ORANGE</v>
      </c>
      <c r="D1699" s="1" t="str">
        <f t="shared" si="117"/>
        <v>NJ</v>
      </c>
      <c r="E1699" s="2">
        <v>1</v>
      </c>
      <c r="F1699" s="2">
        <v>1</v>
      </c>
      <c r="G1699" s="2">
        <v>1</v>
      </c>
      <c r="H1699" s="2">
        <v>1</v>
      </c>
    </row>
    <row r="1700" spans="1:8" x14ac:dyDescent="0.25">
      <c r="A1700" s="1" t="str">
        <f>"07104"</f>
        <v>07104</v>
      </c>
      <c r="B1700" s="1" t="str">
        <f>"35084"</f>
        <v>35084</v>
      </c>
      <c r="C1700" s="1" t="str">
        <f>"NEWARK"</f>
        <v>NEWARK</v>
      </c>
      <c r="D1700" s="1" t="str">
        <f t="shared" si="117"/>
        <v>NJ</v>
      </c>
      <c r="E1700" s="2">
        <v>1</v>
      </c>
      <c r="F1700" s="2">
        <v>1</v>
      </c>
      <c r="G1700" s="2">
        <v>1</v>
      </c>
      <c r="H1700" s="2">
        <v>1</v>
      </c>
    </row>
    <row r="1701" spans="1:8" x14ac:dyDescent="0.25">
      <c r="A1701" s="1" t="str">
        <f>"07106"</f>
        <v>07106</v>
      </c>
      <c r="B1701" s="1" t="str">
        <f>"35084"</f>
        <v>35084</v>
      </c>
      <c r="C1701" s="1" t="str">
        <f>"NEWARK"</f>
        <v>NEWARK</v>
      </c>
      <c r="D1701" s="1" t="str">
        <f t="shared" si="117"/>
        <v>NJ</v>
      </c>
      <c r="E1701" s="2">
        <v>1</v>
      </c>
      <c r="F1701" s="2">
        <v>1</v>
      </c>
      <c r="G1701" s="2">
        <v>1</v>
      </c>
      <c r="H1701" s="2">
        <v>1</v>
      </c>
    </row>
    <row r="1702" spans="1:8" x14ac:dyDescent="0.25">
      <c r="A1702" s="1" t="str">
        <f>"07410"</f>
        <v>07410</v>
      </c>
      <c r="B1702" s="1" t="str">
        <f>"35614"</f>
        <v>35614</v>
      </c>
      <c r="C1702" s="1" t="str">
        <f>"FAIR LAWN"</f>
        <v>FAIR LAWN</v>
      </c>
      <c r="D1702" s="1" t="str">
        <f t="shared" si="117"/>
        <v>NJ</v>
      </c>
      <c r="E1702" s="2">
        <v>1</v>
      </c>
      <c r="F1702" s="2">
        <v>1</v>
      </c>
      <c r="G1702" s="2">
        <v>1</v>
      </c>
      <c r="H1702" s="2">
        <v>1</v>
      </c>
    </row>
    <row r="1703" spans="1:8" x14ac:dyDescent="0.25">
      <c r="A1703" s="1" t="str">
        <f>"07417"</f>
        <v>07417</v>
      </c>
      <c r="B1703" s="1" t="str">
        <f>"35614"</f>
        <v>35614</v>
      </c>
      <c r="C1703" s="1" t="str">
        <f>"FRANKLIN LAKES"</f>
        <v>FRANKLIN LAKES</v>
      </c>
      <c r="D1703" s="1" t="str">
        <f t="shared" si="117"/>
        <v>NJ</v>
      </c>
      <c r="E1703" s="2">
        <v>1</v>
      </c>
      <c r="F1703" s="2">
        <v>1</v>
      </c>
      <c r="G1703" s="2">
        <v>1</v>
      </c>
      <c r="H1703" s="2">
        <v>1</v>
      </c>
    </row>
    <row r="1704" spans="1:8" x14ac:dyDescent="0.25">
      <c r="A1704" s="1" t="str">
        <f>"07644"</f>
        <v>07644</v>
      </c>
      <c r="B1704" s="1" t="str">
        <f>"35614"</f>
        <v>35614</v>
      </c>
      <c r="C1704" s="1" t="str">
        <f>"LODI"</f>
        <v>LODI</v>
      </c>
      <c r="D1704" s="1" t="str">
        <f t="shared" si="117"/>
        <v>NJ</v>
      </c>
      <c r="E1704" s="2">
        <v>1</v>
      </c>
      <c r="F1704" s="2">
        <v>1</v>
      </c>
      <c r="G1704" s="2">
        <v>1</v>
      </c>
      <c r="H1704" s="2">
        <v>1</v>
      </c>
    </row>
    <row r="1705" spans="1:8" x14ac:dyDescent="0.25">
      <c r="A1705" s="1" t="str">
        <f>"07642"</f>
        <v>07642</v>
      </c>
      <c r="B1705" s="1" t="str">
        <f>"35614"</f>
        <v>35614</v>
      </c>
      <c r="C1705" s="1" t="str">
        <f>"HILLSDALE"</f>
        <v>HILLSDALE</v>
      </c>
      <c r="D1705" s="1" t="str">
        <f t="shared" si="117"/>
        <v>NJ</v>
      </c>
      <c r="E1705" s="2">
        <v>1</v>
      </c>
      <c r="F1705" s="2">
        <v>1</v>
      </c>
      <c r="G1705" s="2">
        <v>1</v>
      </c>
      <c r="H1705" s="2">
        <v>1</v>
      </c>
    </row>
    <row r="1706" spans="1:8" x14ac:dyDescent="0.25">
      <c r="A1706" s="1" t="str">
        <f>"07718"</f>
        <v>07718</v>
      </c>
      <c r="B1706" s="1" t="str">
        <f>"35154"</f>
        <v>35154</v>
      </c>
      <c r="C1706" s="1" t="str">
        <f>"BELFORD"</f>
        <v>BELFORD</v>
      </c>
      <c r="D1706" s="1" t="str">
        <f t="shared" si="117"/>
        <v>NJ</v>
      </c>
      <c r="E1706" s="2">
        <v>1</v>
      </c>
      <c r="F1706" s="2">
        <v>1</v>
      </c>
      <c r="G1706" s="2">
        <v>1</v>
      </c>
      <c r="H1706" s="2">
        <v>1</v>
      </c>
    </row>
    <row r="1707" spans="1:8" x14ac:dyDescent="0.25">
      <c r="A1707" s="1" t="str">
        <f>"07753"</f>
        <v>07753</v>
      </c>
      <c r="B1707" s="1" t="str">
        <f>"35154"</f>
        <v>35154</v>
      </c>
      <c r="C1707" s="1" t="str">
        <f>"NEPTUNE"</f>
        <v>NEPTUNE</v>
      </c>
      <c r="D1707" s="1" t="str">
        <f t="shared" si="117"/>
        <v>NJ</v>
      </c>
      <c r="E1707" s="2">
        <v>1</v>
      </c>
      <c r="F1707" s="2">
        <v>1</v>
      </c>
      <c r="G1707" s="2">
        <v>1</v>
      </c>
      <c r="H1707" s="2">
        <v>1</v>
      </c>
    </row>
    <row r="1708" spans="1:8" x14ac:dyDescent="0.25">
      <c r="A1708" s="1" t="str">
        <f>"08010"</f>
        <v>08010</v>
      </c>
      <c r="B1708" s="1" t="str">
        <f>"15804"</f>
        <v>15804</v>
      </c>
      <c r="C1708" s="1" t="str">
        <f>"BEVERLY"</f>
        <v>BEVERLY</v>
      </c>
      <c r="D1708" s="1" t="str">
        <f t="shared" si="117"/>
        <v>NJ</v>
      </c>
      <c r="E1708" s="2">
        <v>1</v>
      </c>
      <c r="F1708" s="2">
        <v>1</v>
      </c>
      <c r="G1708" s="2">
        <v>1</v>
      </c>
      <c r="H1708" s="2">
        <v>1</v>
      </c>
    </row>
    <row r="1709" spans="1:8" x14ac:dyDescent="0.25">
      <c r="A1709" s="1" t="str">
        <f>"08043"</f>
        <v>08043</v>
      </c>
      <c r="B1709" s="1" t="str">
        <f>"15804"</f>
        <v>15804</v>
      </c>
      <c r="C1709" s="1" t="str">
        <f>"VOORHEES"</f>
        <v>VOORHEES</v>
      </c>
      <c r="D1709" s="1" t="str">
        <f t="shared" si="117"/>
        <v>NJ</v>
      </c>
      <c r="E1709" s="2">
        <v>1</v>
      </c>
      <c r="F1709" s="2">
        <v>1</v>
      </c>
      <c r="G1709" s="2">
        <v>1</v>
      </c>
      <c r="H1709" s="2">
        <v>1</v>
      </c>
    </row>
    <row r="1710" spans="1:8" x14ac:dyDescent="0.25">
      <c r="A1710" s="1" t="str">
        <f>"08051"</f>
        <v>08051</v>
      </c>
      <c r="B1710" s="1" t="str">
        <f>"15804"</f>
        <v>15804</v>
      </c>
      <c r="C1710" s="1" t="str">
        <f>"MANTUA"</f>
        <v>MANTUA</v>
      </c>
      <c r="D1710" s="1" t="str">
        <f t="shared" si="117"/>
        <v>NJ</v>
      </c>
      <c r="E1710" s="2">
        <v>1</v>
      </c>
      <c r="F1710" s="2">
        <v>1</v>
      </c>
      <c r="G1710" s="2">
        <v>1</v>
      </c>
      <c r="H1710" s="2">
        <v>1</v>
      </c>
    </row>
    <row r="1711" spans="1:8" x14ac:dyDescent="0.25">
      <c r="A1711" s="1" t="str">
        <f>"08069"</f>
        <v>08069</v>
      </c>
      <c r="B1711" s="1" t="str">
        <f>"48864"</f>
        <v>48864</v>
      </c>
      <c r="C1711" s="1" t="str">
        <f>"PENNS GROVE"</f>
        <v>PENNS GROVE</v>
      </c>
      <c r="D1711" s="1" t="str">
        <f t="shared" si="117"/>
        <v>NJ</v>
      </c>
      <c r="E1711" s="2">
        <v>1</v>
      </c>
      <c r="F1711" s="2">
        <v>1</v>
      </c>
      <c r="G1711" s="2">
        <v>1</v>
      </c>
      <c r="H1711" s="2">
        <v>1</v>
      </c>
    </row>
    <row r="1712" spans="1:8" x14ac:dyDescent="0.25">
      <c r="A1712" s="1" t="str">
        <f>"08087"</f>
        <v>08087</v>
      </c>
      <c r="B1712" s="1" t="str">
        <f>"15804"</f>
        <v>15804</v>
      </c>
      <c r="C1712" s="1" t="str">
        <f>"TUCKERTON"</f>
        <v>TUCKERTON</v>
      </c>
      <c r="D1712" s="1" t="str">
        <f t="shared" si="117"/>
        <v>NJ</v>
      </c>
      <c r="E1712" s="2">
        <v>3.5274638254985197E-2</v>
      </c>
      <c r="F1712" s="2">
        <v>7.0652173913043403E-2</v>
      </c>
      <c r="G1712" s="2">
        <v>3.5398230088495498E-2</v>
      </c>
      <c r="H1712" s="2">
        <v>3.6617202528166998E-2</v>
      </c>
    </row>
    <row r="1713" spans="1:8" x14ac:dyDescent="0.25">
      <c r="A1713" s="1" t="str">
        <f>"08087"</f>
        <v>08087</v>
      </c>
      <c r="B1713" s="1" t="str">
        <f>"35154"</f>
        <v>35154</v>
      </c>
      <c r="C1713" s="1" t="str">
        <f>"TUCKERTON"</f>
        <v>TUCKERTON</v>
      </c>
      <c r="D1713" s="1" t="str">
        <f t="shared" si="117"/>
        <v>NJ</v>
      </c>
      <c r="E1713" s="2">
        <v>0.964725361745014</v>
      </c>
      <c r="F1713" s="2">
        <v>0.92934782608695599</v>
      </c>
      <c r="G1713" s="2">
        <v>0.96460176991150404</v>
      </c>
      <c r="H1713" s="2">
        <v>0.96338279747183198</v>
      </c>
    </row>
    <row r="1714" spans="1:8" x14ac:dyDescent="0.25">
      <c r="A1714" s="1" t="str">
        <f>"08110"</f>
        <v>08110</v>
      </c>
      <c r="B1714" s="1" t="str">
        <f>"15804"</f>
        <v>15804</v>
      </c>
      <c r="C1714" s="1" t="str">
        <f>"PENNSAUKEN"</f>
        <v>PENNSAUKEN</v>
      </c>
      <c r="D1714" s="1" t="str">
        <f t="shared" si="117"/>
        <v>NJ</v>
      </c>
      <c r="E1714" s="2">
        <v>1</v>
      </c>
      <c r="F1714" s="2">
        <v>1</v>
      </c>
      <c r="G1714" s="2">
        <v>1</v>
      </c>
      <c r="H1714" s="2">
        <v>1</v>
      </c>
    </row>
    <row r="1715" spans="1:8" x14ac:dyDescent="0.25">
      <c r="A1715" s="1" t="str">
        <f>"08094"</f>
        <v>08094</v>
      </c>
      <c r="B1715" s="1" t="str">
        <f>"15804"</f>
        <v>15804</v>
      </c>
      <c r="C1715" s="1" t="str">
        <f>"WILLIAMSTOWN"</f>
        <v>WILLIAMSTOWN</v>
      </c>
      <c r="D1715" s="1" t="str">
        <f t="shared" si="117"/>
        <v>NJ</v>
      </c>
      <c r="E1715" s="2">
        <v>1</v>
      </c>
      <c r="F1715" s="2">
        <v>1</v>
      </c>
      <c r="G1715" s="2">
        <v>1</v>
      </c>
      <c r="H1715" s="2">
        <v>1</v>
      </c>
    </row>
    <row r="1716" spans="1:8" x14ac:dyDescent="0.25">
      <c r="A1716" s="1" t="str">
        <f>"08106"</f>
        <v>08106</v>
      </c>
      <c r="B1716" s="1" t="str">
        <f>"15804"</f>
        <v>15804</v>
      </c>
      <c r="C1716" s="1" t="str">
        <f>"AUDUBON"</f>
        <v>AUDUBON</v>
      </c>
      <c r="D1716" s="1" t="str">
        <f t="shared" si="117"/>
        <v>NJ</v>
      </c>
      <c r="E1716" s="2">
        <v>1</v>
      </c>
      <c r="F1716" s="2">
        <v>1</v>
      </c>
      <c r="G1716" s="2">
        <v>1</v>
      </c>
      <c r="H1716" s="2">
        <v>1</v>
      </c>
    </row>
    <row r="1717" spans="1:8" x14ac:dyDescent="0.25">
      <c r="A1717" s="1" t="str">
        <f>"08510"</f>
        <v>08510</v>
      </c>
      <c r="B1717" s="1" t="str">
        <f>"35154"</f>
        <v>35154</v>
      </c>
      <c r="C1717" s="1" t="str">
        <f>"MILLSTONE TOWNSHIP"</f>
        <v>MILLSTONE TOWNSHIP</v>
      </c>
      <c r="D1717" s="1" t="str">
        <f t="shared" si="117"/>
        <v>NJ</v>
      </c>
      <c r="E1717" s="2">
        <v>1</v>
      </c>
      <c r="F1717" s="2">
        <v>1</v>
      </c>
      <c r="G1717" s="2">
        <v>1</v>
      </c>
      <c r="H1717" s="2">
        <v>1</v>
      </c>
    </row>
    <row r="1718" spans="1:8" x14ac:dyDescent="0.25">
      <c r="A1718" s="1" t="str">
        <f>"08735"</f>
        <v>08735</v>
      </c>
      <c r="B1718" s="1" t="str">
        <f>"35154"</f>
        <v>35154</v>
      </c>
      <c r="C1718" s="1" t="str">
        <f>"LAVALLETTE"</f>
        <v>LAVALLETTE</v>
      </c>
      <c r="D1718" s="1" t="str">
        <f t="shared" si="117"/>
        <v>NJ</v>
      </c>
      <c r="E1718" s="2">
        <v>1</v>
      </c>
      <c r="F1718" s="2">
        <v>1</v>
      </c>
      <c r="G1718" s="2">
        <v>1</v>
      </c>
      <c r="H1718" s="2">
        <v>1</v>
      </c>
    </row>
    <row r="1719" spans="1:8" x14ac:dyDescent="0.25">
      <c r="A1719" s="1" t="str">
        <f>"08823"</f>
        <v>08823</v>
      </c>
      <c r="B1719" s="1" t="str">
        <f>"35154"</f>
        <v>35154</v>
      </c>
      <c r="C1719" s="1" t="str">
        <f>"FRANKLIN PARK"</f>
        <v>FRANKLIN PARK</v>
      </c>
      <c r="D1719" s="1" t="str">
        <f t="shared" si="117"/>
        <v>NJ</v>
      </c>
      <c r="E1719" s="2">
        <v>1</v>
      </c>
      <c r="F1719" s="2">
        <v>1</v>
      </c>
      <c r="G1719" s="2">
        <v>1</v>
      </c>
      <c r="H1719" s="2">
        <v>1</v>
      </c>
    </row>
    <row r="1720" spans="1:8" x14ac:dyDescent="0.25">
      <c r="A1720" s="1" t="str">
        <f>"08879"</f>
        <v>08879</v>
      </c>
      <c r="B1720" s="1" t="str">
        <f>"35154"</f>
        <v>35154</v>
      </c>
      <c r="C1720" s="1" t="str">
        <f>"SOUTH AMBOY"</f>
        <v>SOUTH AMBOY</v>
      </c>
      <c r="D1720" s="1" t="str">
        <f t="shared" si="117"/>
        <v>NJ</v>
      </c>
      <c r="E1720" s="2">
        <v>1</v>
      </c>
      <c r="F1720" s="2">
        <v>1</v>
      </c>
      <c r="G1720" s="2">
        <v>1</v>
      </c>
      <c r="H1720" s="2">
        <v>1</v>
      </c>
    </row>
    <row r="1721" spans="1:8" x14ac:dyDescent="0.25">
      <c r="A1721" s="1" t="str">
        <f>"08882"</f>
        <v>08882</v>
      </c>
      <c r="B1721" s="1" t="str">
        <f>"35154"</f>
        <v>35154</v>
      </c>
      <c r="C1721" s="1" t="str">
        <f>"SOUTH RIVER"</f>
        <v>SOUTH RIVER</v>
      </c>
      <c r="D1721" s="1" t="str">
        <f t="shared" si="117"/>
        <v>NJ</v>
      </c>
      <c r="E1721" s="2">
        <v>1</v>
      </c>
      <c r="F1721" s="2">
        <v>1</v>
      </c>
      <c r="G1721" s="2">
        <v>1</v>
      </c>
      <c r="H1721" s="2">
        <v>1</v>
      </c>
    </row>
    <row r="1722" spans="1:8" x14ac:dyDescent="0.25">
      <c r="A1722" s="1" t="str">
        <f>"10011"</f>
        <v>10011</v>
      </c>
      <c r="B1722" s="1" t="str">
        <f t="shared" ref="B1722:B1727" si="118">"35614"</f>
        <v>35614</v>
      </c>
      <c r="C1722" s="1" t="str">
        <f>"NEW YORK"</f>
        <v>NEW YORK</v>
      </c>
      <c r="D1722" s="1" t="str">
        <f t="shared" ref="D1722:D1732" si="119">"NY"</f>
        <v>NY</v>
      </c>
      <c r="E1722" s="2">
        <v>1</v>
      </c>
      <c r="F1722" s="2">
        <v>1</v>
      </c>
      <c r="G1722" s="2">
        <v>1</v>
      </c>
      <c r="H1722" s="2">
        <v>1</v>
      </c>
    </row>
    <row r="1723" spans="1:8" x14ac:dyDescent="0.25">
      <c r="A1723" s="1" t="str">
        <f>"10451"</f>
        <v>10451</v>
      </c>
      <c r="B1723" s="1" t="str">
        <f t="shared" si="118"/>
        <v>35614</v>
      </c>
      <c r="C1723" s="1" t="str">
        <f>"BRONX"</f>
        <v>BRONX</v>
      </c>
      <c r="D1723" s="1" t="str">
        <f t="shared" si="119"/>
        <v>NY</v>
      </c>
      <c r="E1723" s="2">
        <v>1</v>
      </c>
      <c r="F1723" s="2">
        <v>1</v>
      </c>
      <c r="G1723" s="2">
        <v>1</v>
      </c>
      <c r="H1723" s="2">
        <v>1</v>
      </c>
    </row>
    <row r="1724" spans="1:8" x14ac:dyDescent="0.25">
      <c r="A1724" s="1" t="str">
        <f>"11231"</f>
        <v>11231</v>
      </c>
      <c r="B1724" s="1" t="str">
        <f t="shared" si="118"/>
        <v>35614</v>
      </c>
      <c r="C1724" s="1" t="str">
        <f>"BROOKLYN"</f>
        <v>BROOKLYN</v>
      </c>
      <c r="D1724" s="1" t="str">
        <f t="shared" si="119"/>
        <v>NY</v>
      </c>
      <c r="E1724" s="2">
        <v>1</v>
      </c>
      <c r="F1724" s="2">
        <v>1</v>
      </c>
      <c r="G1724" s="2">
        <v>1</v>
      </c>
      <c r="H1724" s="2">
        <v>1</v>
      </c>
    </row>
    <row r="1725" spans="1:8" x14ac:dyDescent="0.25">
      <c r="A1725" s="1" t="str">
        <f>"11101"</f>
        <v>11101</v>
      </c>
      <c r="B1725" s="1" t="str">
        <f t="shared" si="118"/>
        <v>35614</v>
      </c>
      <c r="C1725" s="1" t="str">
        <f>"LONG ISLAND CITY"</f>
        <v>LONG ISLAND CITY</v>
      </c>
      <c r="D1725" s="1" t="str">
        <f t="shared" si="119"/>
        <v>NY</v>
      </c>
      <c r="E1725" s="2">
        <v>1</v>
      </c>
      <c r="F1725" s="2">
        <v>1</v>
      </c>
      <c r="G1725" s="2">
        <v>1</v>
      </c>
      <c r="H1725" s="2">
        <v>1</v>
      </c>
    </row>
    <row r="1726" spans="1:8" x14ac:dyDescent="0.25">
      <c r="A1726" s="1" t="str">
        <f>"11373"</f>
        <v>11373</v>
      </c>
      <c r="B1726" s="1" t="str">
        <f t="shared" si="118"/>
        <v>35614</v>
      </c>
      <c r="C1726" s="1" t="str">
        <f>"ELMHURST"</f>
        <v>ELMHURST</v>
      </c>
      <c r="D1726" s="1" t="str">
        <f t="shared" si="119"/>
        <v>NY</v>
      </c>
      <c r="E1726" s="2">
        <v>1</v>
      </c>
      <c r="F1726" s="2">
        <v>1</v>
      </c>
      <c r="G1726" s="2">
        <v>1</v>
      </c>
      <c r="H1726" s="2">
        <v>1</v>
      </c>
    </row>
    <row r="1727" spans="1:8" x14ac:dyDescent="0.25">
      <c r="A1727" s="1" t="str">
        <f>"11435"</f>
        <v>11435</v>
      </c>
      <c r="B1727" s="1" t="str">
        <f t="shared" si="118"/>
        <v>35614</v>
      </c>
      <c r="C1727" s="1" t="str">
        <f>"JAMAICA"</f>
        <v>JAMAICA</v>
      </c>
      <c r="D1727" s="1" t="str">
        <f t="shared" si="119"/>
        <v>NY</v>
      </c>
      <c r="E1727" s="2">
        <v>1</v>
      </c>
      <c r="F1727" s="2">
        <v>1</v>
      </c>
      <c r="G1727" s="2">
        <v>1</v>
      </c>
      <c r="H1727" s="2">
        <v>1</v>
      </c>
    </row>
    <row r="1728" spans="1:8" x14ac:dyDescent="0.25">
      <c r="A1728" s="1" t="str">
        <f>"11733"</f>
        <v>11733</v>
      </c>
      <c r="B1728" s="1" t="str">
        <f>"35004"</f>
        <v>35004</v>
      </c>
      <c r="C1728" s="1" t="str">
        <f>"EAST SETAUKET"</f>
        <v>EAST SETAUKET</v>
      </c>
      <c r="D1728" s="1" t="str">
        <f t="shared" si="119"/>
        <v>NY</v>
      </c>
      <c r="E1728" s="2">
        <v>1</v>
      </c>
      <c r="F1728" s="2">
        <v>1</v>
      </c>
      <c r="G1728" s="2">
        <v>1</v>
      </c>
      <c r="H1728" s="2">
        <v>1</v>
      </c>
    </row>
    <row r="1729" spans="1:8" x14ac:dyDescent="0.25">
      <c r="A1729" s="1" t="str">
        <f>"11937"</f>
        <v>11937</v>
      </c>
      <c r="B1729" s="1" t="str">
        <f>"35004"</f>
        <v>35004</v>
      </c>
      <c r="C1729" s="1" t="str">
        <f>"EAST HAMPTON"</f>
        <v>EAST HAMPTON</v>
      </c>
      <c r="D1729" s="1" t="str">
        <f t="shared" si="119"/>
        <v>NY</v>
      </c>
      <c r="E1729" s="2">
        <v>1</v>
      </c>
      <c r="F1729" s="2">
        <v>1</v>
      </c>
      <c r="G1729" s="2">
        <v>1</v>
      </c>
      <c r="H1729" s="2">
        <v>1</v>
      </c>
    </row>
    <row r="1730" spans="1:8" x14ac:dyDescent="0.25">
      <c r="A1730" s="1" t="str">
        <f>"11967"</f>
        <v>11967</v>
      </c>
      <c r="B1730" s="1" t="str">
        <f>"35004"</f>
        <v>35004</v>
      </c>
      <c r="C1730" s="1" t="str">
        <f>"SHIRLEY"</f>
        <v>SHIRLEY</v>
      </c>
      <c r="D1730" s="1" t="str">
        <f t="shared" si="119"/>
        <v>NY</v>
      </c>
      <c r="E1730" s="2">
        <v>1</v>
      </c>
      <c r="F1730" s="2">
        <v>1</v>
      </c>
      <c r="G1730" s="2">
        <v>1</v>
      </c>
      <c r="H1730" s="2">
        <v>1</v>
      </c>
    </row>
    <row r="1731" spans="1:8" x14ac:dyDescent="0.25">
      <c r="A1731" s="1" t="str">
        <f>"11953"</f>
        <v>11953</v>
      </c>
      <c r="B1731" s="1" t="str">
        <f>"35004"</f>
        <v>35004</v>
      </c>
      <c r="C1731" s="1" t="str">
        <f>"MIDDLE ISLAND"</f>
        <v>MIDDLE ISLAND</v>
      </c>
      <c r="D1731" s="1" t="str">
        <f t="shared" si="119"/>
        <v>NY</v>
      </c>
      <c r="E1731" s="2">
        <v>1</v>
      </c>
      <c r="F1731" s="2">
        <v>1</v>
      </c>
      <c r="G1731" s="2">
        <v>1</v>
      </c>
      <c r="H1731" s="2">
        <v>1</v>
      </c>
    </row>
    <row r="1732" spans="1:8" x14ac:dyDescent="0.25">
      <c r="A1732" s="1" t="str">
        <f>"10538"</f>
        <v>10538</v>
      </c>
      <c r="B1732" s="1" t="str">
        <f>"35614"</f>
        <v>35614</v>
      </c>
      <c r="C1732" s="1" t="str">
        <f>"LARCHMONT"</f>
        <v>LARCHMONT</v>
      </c>
      <c r="D1732" s="1" t="str">
        <f t="shared" si="119"/>
        <v>NY</v>
      </c>
      <c r="E1732" s="2">
        <v>1</v>
      </c>
      <c r="F1732" s="2">
        <v>1</v>
      </c>
      <c r="G1732" s="2">
        <v>1</v>
      </c>
      <c r="H1732" s="2">
        <v>1</v>
      </c>
    </row>
    <row r="1733" spans="1:8" x14ac:dyDescent="0.25">
      <c r="A1733" s="1" t="str">
        <f>"19027"</f>
        <v>19027</v>
      </c>
      <c r="B1733" s="1" t="str">
        <f>"33874"</f>
        <v>33874</v>
      </c>
      <c r="C1733" s="1" t="str">
        <f>"ELKINS PARK"</f>
        <v>ELKINS PARK</v>
      </c>
      <c r="D1733" s="1" t="str">
        <f>"PA"</f>
        <v>PA</v>
      </c>
      <c r="E1733" s="2">
        <v>1</v>
      </c>
      <c r="F1733" s="2">
        <v>1</v>
      </c>
      <c r="G1733" s="2">
        <v>1</v>
      </c>
      <c r="H1733" s="2">
        <v>1</v>
      </c>
    </row>
    <row r="1734" spans="1:8" x14ac:dyDescent="0.25">
      <c r="A1734" s="1" t="str">
        <f>"19074"</f>
        <v>19074</v>
      </c>
      <c r="B1734" s="1" t="str">
        <f>"37964"</f>
        <v>37964</v>
      </c>
      <c r="C1734" s="1" t="str">
        <f>"NORWOOD"</f>
        <v>NORWOOD</v>
      </c>
      <c r="D1734" s="1" t="str">
        <f>"PA"</f>
        <v>PA</v>
      </c>
      <c r="E1734" s="2">
        <v>1</v>
      </c>
      <c r="F1734" s="2">
        <v>1</v>
      </c>
      <c r="G1734" s="2">
        <v>1</v>
      </c>
      <c r="H1734" s="2">
        <v>1</v>
      </c>
    </row>
    <row r="1735" spans="1:8" x14ac:dyDescent="0.25">
      <c r="A1735" s="1" t="str">
        <f>"19390"</f>
        <v>19390</v>
      </c>
      <c r="B1735" s="1" t="str">
        <f>"33874"</f>
        <v>33874</v>
      </c>
      <c r="C1735" s="1" t="str">
        <f>"WEST GROVE"</f>
        <v>WEST GROVE</v>
      </c>
      <c r="D1735" s="1" t="str">
        <f>"PA"</f>
        <v>PA</v>
      </c>
      <c r="E1735" s="2">
        <v>1</v>
      </c>
      <c r="F1735" s="2">
        <v>1</v>
      </c>
      <c r="G1735" s="2">
        <v>1</v>
      </c>
      <c r="H1735" s="2">
        <v>1</v>
      </c>
    </row>
    <row r="1736" spans="1:8" x14ac:dyDescent="0.25">
      <c r="A1736" s="1" t="str">
        <f>"19380"</f>
        <v>19380</v>
      </c>
      <c r="B1736" s="1" t="str">
        <f>"33874"</f>
        <v>33874</v>
      </c>
      <c r="C1736" s="1" t="str">
        <f>"WEST CHESTER"</f>
        <v>WEST CHESTER</v>
      </c>
      <c r="D1736" s="1" t="str">
        <f>"PA"</f>
        <v>PA</v>
      </c>
      <c r="E1736" s="2">
        <v>1</v>
      </c>
      <c r="F1736" s="2">
        <v>1</v>
      </c>
      <c r="G1736" s="2">
        <v>1</v>
      </c>
      <c r="H1736" s="2">
        <v>1</v>
      </c>
    </row>
    <row r="1737" spans="1:8" x14ac:dyDescent="0.25">
      <c r="A1737" s="1" t="str">
        <f>"19807"</f>
        <v>19807</v>
      </c>
      <c r="B1737" s="1" t="str">
        <f>"48864"</f>
        <v>48864</v>
      </c>
      <c r="C1737" s="1" t="str">
        <f>"WILMINGTON"</f>
        <v>WILMINGTON</v>
      </c>
      <c r="D1737" s="1" t="str">
        <f>"DE"</f>
        <v>DE</v>
      </c>
      <c r="E1737" s="2">
        <v>1</v>
      </c>
      <c r="F1737" s="2">
        <v>1</v>
      </c>
      <c r="G1737" s="2">
        <v>1</v>
      </c>
      <c r="H1737" s="2">
        <v>1</v>
      </c>
    </row>
    <row r="1738" spans="1:8" x14ac:dyDescent="0.25">
      <c r="A1738" s="1" t="str">
        <f>"20024"</f>
        <v>20024</v>
      </c>
      <c r="B1738" s="1" t="str">
        <f>"47894"</f>
        <v>47894</v>
      </c>
      <c r="C1738" s="1" t="str">
        <f>"WASHINGTON"</f>
        <v>WASHINGTON</v>
      </c>
      <c r="D1738" s="1" t="str">
        <f>"DC"</f>
        <v>DC</v>
      </c>
      <c r="E1738" s="2">
        <v>1</v>
      </c>
      <c r="F1738" s="2">
        <v>1</v>
      </c>
      <c r="G1738" s="2">
        <v>1</v>
      </c>
      <c r="H1738" s="2">
        <v>1</v>
      </c>
    </row>
    <row r="1739" spans="1:8" x14ac:dyDescent="0.25">
      <c r="A1739" s="1" t="str">
        <f>"20233"</f>
        <v>20233</v>
      </c>
      <c r="B1739" s="1" t="str">
        <f>"47894"</f>
        <v>47894</v>
      </c>
      <c r="C1739" s="1" t="str">
        <f>"WASHINGTON"</f>
        <v>WASHINGTON</v>
      </c>
      <c r="D1739" s="1" t="str">
        <f>"DC"</f>
        <v>DC</v>
      </c>
      <c r="E1739" s="2">
        <v>0</v>
      </c>
      <c r="F1739" s="2">
        <v>1</v>
      </c>
      <c r="G1739" s="2">
        <v>1</v>
      </c>
      <c r="H1739" s="2">
        <v>1</v>
      </c>
    </row>
    <row r="1740" spans="1:8" x14ac:dyDescent="0.25">
      <c r="A1740" s="1" t="str">
        <f>"20607"</f>
        <v>20607</v>
      </c>
      <c r="B1740" s="1" t="str">
        <f>"47894"</f>
        <v>47894</v>
      </c>
      <c r="C1740" s="1" t="str">
        <f>"ACCOKEEK"</f>
        <v>ACCOKEEK</v>
      </c>
      <c r="D1740" s="1" t="str">
        <f>"MD"</f>
        <v>MD</v>
      </c>
      <c r="E1740" s="2">
        <v>1</v>
      </c>
      <c r="F1740" s="2">
        <v>1</v>
      </c>
      <c r="G1740" s="2">
        <v>1</v>
      </c>
      <c r="H1740" s="2">
        <v>1</v>
      </c>
    </row>
    <row r="1741" spans="1:8" x14ac:dyDescent="0.25">
      <c r="A1741" s="1" t="str">
        <f>"20732"</f>
        <v>20732</v>
      </c>
      <c r="B1741" s="1" t="str">
        <f>"47894"</f>
        <v>47894</v>
      </c>
      <c r="C1741" s="1" t="str">
        <f>"CHESAPEAKE BEACH"</f>
        <v>CHESAPEAKE BEACH</v>
      </c>
      <c r="D1741" s="1" t="str">
        <f>"MD"</f>
        <v>MD</v>
      </c>
      <c r="E1741" s="2">
        <v>1</v>
      </c>
      <c r="F1741" s="2">
        <v>1</v>
      </c>
      <c r="G1741" s="2">
        <v>1</v>
      </c>
      <c r="H1741" s="2">
        <v>1</v>
      </c>
    </row>
    <row r="1742" spans="1:8" x14ac:dyDescent="0.25">
      <c r="A1742" s="1" t="str">
        <f>"20748"</f>
        <v>20748</v>
      </c>
      <c r="B1742" s="1" t="str">
        <f>"47894"</f>
        <v>47894</v>
      </c>
      <c r="C1742" s="1" t="str">
        <f>"TEMPLE HILLS"</f>
        <v>TEMPLE HILLS</v>
      </c>
      <c r="D1742" s="1" t="str">
        <f>"MD"</f>
        <v>MD</v>
      </c>
      <c r="E1742" s="2">
        <v>1</v>
      </c>
      <c r="F1742" s="2">
        <v>1</v>
      </c>
      <c r="G1742" s="2">
        <v>1</v>
      </c>
      <c r="H1742" s="2">
        <v>1</v>
      </c>
    </row>
    <row r="1743" spans="1:8" x14ac:dyDescent="0.25">
      <c r="A1743" s="1" t="str">
        <f>"21727"</f>
        <v>21727</v>
      </c>
      <c r="B1743" s="1" t="str">
        <f>"23224"</f>
        <v>23224</v>
      </c>
      <c r="C1743" s="1" t="str">
        <f>"EMMITSBURG"</f>
        <v>EMMITSBURG</v>
      </c>
      <c r="D1743" s="1" t="str">
        <f>"MD"</f>
        <v>MD</v>
      </c>
      <c r="E1743" s="2">
        <v>1</v>
      </c>
      <c r="F1743" s="2">
        <v>1</v>
      </c>
      <c r="G1743" s="2">
        <v>1</v>
      </c>
      <c r="H1743" s="2">
        <v>1</v>
      </c>
    </row>
    <row r="1744" spans="1:8" x14ac:dyDescent="0.25">
      <c r="A1744" s="1" t="str">
        <f>"22309"</f>
        <v>22309</v>
      </c>
      <c r="B1744" s="1" t="str">
        <f>"47894"</f>
        <v>47894</v>
      </c>
      <c r="C1744" s="1" t="str">
        <f>"ALEXANDRIA"</f>
        <v>ALEXANDRIA</v>
      </c>
      <c r="D1744" s="1" t="str">
        <f>"VA"</f>
        <v>VA</v>
      </c>
      <c r="E1744" s="2">
        <v>1</v>
      </c>
      <c r="F1744" s="2">
        <v>1</v>
      </c>
      <c r="G1744" s="2">
        <v>1</v>
      </c>
      <c r="H1744" s="2">
        <v>1</v>
      </c>
    </row>
    <row r="1745" spans="1:8" x14ac:dyDescent="0.25">
      <c r="A1745" s="1" t="str">
        <f>"22306"</f>
        <v>22306</v>
      </c>
      <c r="B1745" s="1" t="str">
        <f>"47894"</f>
        <v>47894</v>
      </c>
      <c r="C1745" s="1" t="str">
        <f>"ALEXANDRIA"</f>
        <v>ALEXANDRIA</v>
      </c>
      <c r="D1745" s="1" t="str">
        <f>"VA"</f>
        <v>VA</v>
      </c>
      <c r="E1745" s="2">
        <v>1</v>
      </c>
      <c r="F1745" s="2">
        <v>1</v>
      </c>
      <c r="G1745" s="2">
        <v>1</v>
      </c>
      <c r="H1745" s="2">
        <v>1</v>
      </c>
    </row>
    <row r="1746" spans="1:8" x14ac:dyDescent="0.25">
      <c r="A1746" s="1" t="str">
        <f>"22554"</f>
        <v>22554</v>
      </c>
      <c r="B1746" s="1" t="str">
        <f>"47894"</f>
        <v>47894</v>
      </c>
      <c r="C1746" s="1" t="str">
        <f>"STAFFORD"</f>
        <v>STAFFORD</v>
      </c>
      <c r="D1746" s="1" t="str">
        <f>"VA"</f>
        <v>VA</v>
      </c>
      <c r="E1746" s="2">
        <v>1</v>
      </c>
      <c r="F1746" s="2">
        <v>1</v>
      </c>
      <c r="G1746" s="2">
        <v>1</v>
      </c>
      <c r="H1746" s="2">
        <v>1</v>
      </c>
    </row>
    <row r="1747" spans="1:8" x14ac:dyDescent="0.25">
      <c r="A1747" s="1" t="str">
        <f>"22620"</f>
        <v>22620</v>
      </c>
      <c r="B1747" s="1" t="str">
        <f>"47894"</f>
        <v>47894</v>
      </c>
      <c r="C1747" s="1" t="str">
        <f>"BOYCE"</f>
        <v>BOYCE</v>
      </c>
      <c r="D1747" s="1" t="str">
        <f>"VA"</f>
        <v>VA</v>
      </c>
      <c r="E1747" s="2">
        <v>1</v>
      </c>
      <c r="F1747" s="2">
        <v>1</v>
      </c>
      <c r="G1747" s="2">
        <v>1</v>
      </c>
      <c r="H1747" s="2">
        <v>1</v>
      </c>
    </row>
    <row r="1748" spans="1:8" x14ac:dyDescent="0.25">
      <c r="A1748" s="1" t="str">
        <f>"33026"</f>
        <v>33026</v>
      </c>
      <c r="B1748" s="1" t="str">
        <f>"22744"</f>
        <v>22744</v>
      </c>
      <c r="C1748" s="1" t="str">
        <f>"HOLLYWOOD"</f>
        <v>HOLLYWOOD</v>
      </c>
      <c r="D1748" s="1" t="str">
        <f>"FL"</f>
        <v>FL</v>
      </c>
      <c r="E1748" s="2">
        <v>1</v>
      </c>
      <c r="F1748" s="2">
        <v>1</v>
      </c>
      <c r="G1748" s="2">
        <v>1</v>
      </c>
      <c r="H1748" s="2">
        <v>1</v>
      </c>
    </row>
    <row r="1749" spans="1:8" x14ac:dyDescent="0.25">
      <c r="A1749" s="1" t="str">
        <f>"33428"</f>
        <v>33428</v>
      </c>
      <c r="B1749" s="1" t="str">
        <f>"48424"</f>
        <v>48424</v>
      </c>
      <c r="C1749" s="1" t="str">
        <f>"BOCA RATON"</f>
        <v>BOCA RATON</v>
      </c>
      <c r="D1749" s="1" t="str">
        <f>"FL"</f>
        <v>FL</v>
      </c>
      <c r="E1749" s="2">
        <v>1</v>
      </c>
      <c r="F1749" s="2">
        <v>1</v>
      </c>
      <c r="G1749" s="2">
        <v>1</v>
      </c>
      <c r="H1749" s="2">
        <v>1</v>
      </c>
    </row>
    <row r="1750" spans="1:8" x14ac:dyDescent="0.25">
      <c r="A1750" s="1" t="str">
        <f>"33321"</f>
        <v>33321</v>
      </c>
      <c r="B1750" s="1" t="str">
        <f>"22744"</f>
        <v>22744</v>
      </c>
      <c r="C1750" s="1" t="str">
        <f>"FORT LAUDERDALE"</f>
        <v>FORT LAUDERDALE</v>
      </c>
      <c r="D1750" s="1" t="str">
        <f>"FL"</f>
        <v>FL</v>
      </c>
      <c r="E1750" s="2">
        <v>1</v>
      </c>
      <c r="F1750" s="2">
        <v>1</v>
      </c>
      <c r="G1750" s="2">
        <v>1</v>
      </c>
      <c r="H1750" s="2">
        <v>1</v>
      </c>
    </row>
    <row r="1751" spans="1:8" x14ac:dyDescent="0.25">
      <c r="A1751" s="1" t="str">
        <f>"25446"</f>
        <v>25446</v>
      </c>
      <c r="B1751" s="1" t="str">
        <f>"47894"</f>
        <v>47894</v>
      </c>
      <c r="C1751" s="1" t="str">
        <f>"SUMMIT POINT"</f>
        <v>SUMMIT POINT</v>
      </c>
      <c r="D1751" s="1" t="str">
        <f>"WV"</f>
        <v>WV</v>
      </c>
      <c r="E1751" s="2">
        <v>1</v>
      </c>
      <c r="F1751" s="2">
        <v>1</v>
      </c>
      <c r="G1751" s="2">
        <v>1</v>
      </c>
      <c r="H1751" s="2">
        <v>1</v>
      </c>
    </row>
    <row r="1752" spans="1:8" x14ac:dyDescent="0.25">
      <c r="A1752" s="1" t="str">
        <f>"46322"</f>
        <v>46322</v>
      </c>
      <c r="B1752" s="1" t="str">
        <f>"23844"</f>
        <v>23844</v>
      </c>
      <c r="C1752" s="1" t="str">
        <f>"HIGHLAND"</f>
        <v>HIGHLAND</v>
      </c>
      <c r="D1752" s="1" t="str">
        <f>"IN"</f>
        <v>IN</v>
      </c>
      <c r="E1752" s="2">
        <v>1</v>
      </c>
      <c r="F1752" s="2">
        <v>1</v>
      </c>
      <c r="G1752" s="2">
        <v>1</v>
      </c>
      <c r="H1752" s="2">
        <v>1</v>
      </c>
    </row>
    <row r="1753" spans="1:8" x14ac:dyDescent="0.25">
      <c r="A1753" s="1" t="str">
        <f>"48026"</f>
        <v>48026</v>
      </c>
      <c r="B1753" s="1" t="str">
        <f>"47664"</f>
        <v>47664</v>
      </c>
      <c r="C1753" s="1" t="str">
        <f>"FRASER"</f>
        <v>FRASER</v>
      </c>
      <c r="D1753" s="1" t="str">
        <f t="shared" ref="D1753:D1758" si="120">"MI"</f>
        <v>MI</v>
      </c>
      <c r="E1753" s="2">
        <v>1</v>
      </c>
      <c r="F1753" s="2">
        <v>1</v>
      </c>
      <c r="G1753" s="2">
        <v>1</v>
      </c>
      <c r="H1753" s="2">
        <v>1</v>
      </c>
    </row>
    <row r="1754" spans="1:8" x14ac:dyDescent="0.25">
      <c r="A1754" s="1" t="str">
        <f>"48027"</f>
        <v>48027</v>
      </c>
      <c r="B1754" s="1" t="str">
        <f>"47664"</f>
        <v>47664</v>
      </c>
      <c r="C1754" s="1" t="str">
        <f>"GOODELLS"</f>
        <v>GOODELLS</v>
      </c>
      <c r="D1754" s="1" t="str">
        <f t="shared" si="120"/>
        <v>MI</v>
      </c>
      <c r="E1754" s="2">
        <v>1</v>
      </c>
      <c r="F1754" s="2">
        <v>1</v>
      </c>
      <c r="G1754" s="2">
        <v>1</v>
      </c>
      <c r="H1754" s="2">
        <v>1</v>
      </c>
    </row>
    <row r="1755" spans="1:8" x14ac:dyDescent="0.25">
      <c r="A1755" s="1" t="str">
        <f>"48325"</f>
        <v>48325</v>
      </c>
      <c r="B1755" s="1" t="str">
        <f>"47664"</f>
        <v>47664</v>
      </c>
      <c r="C1755" s="1" t="str">
        <f>"WEST BLOOMFIELD"</f>
        <v>WEST BLOOMFIELD</v>
      </c>
      <c r="D1755" s="1" t="str">
        <f t="shared" si="120"/>
        <v>MI</v>
      </c>
      <c r="E1755" s="2">
        <v>1</v>
      </c>
      <c r="F1755" s="2">
        <v>1</v>
      </c>
      <c r="G1755" s="2">
        <v>1</v>
      </c>
      <c r="H1755" s="2">
        <v>1</v>
      </c>
    </row>
    <row r="1756" spans="1:8" x14ac:dyDescent="0.25">
      <c r="A1756" s="1" t="str">
        <f>"48165"</f>
        <v>48165</v>
      </c>
      <c r="B1756" s="1" t="str">
        <f>"47664"</f>
        <v>47664</v>
      </c>
      <c r="C1756" s="1" t="str">
        <f>"NEW HUDSON"</f>
        <v>NEW HUDSON</v>
      </c>
      <c r="D1756" s="1" t="str">
        <f t="shared" si="120"/>
        <v>MI</v>
      </c>
      <c r="E1756" s="2">
        <v>1</v>
      </c>
      <c r="F1756" s="2">
        <v>1</v>
      </c>
      <c r="G1756" s="2">
        <v>1</v>
      </c>
      <c r="H1756" s="2">
        <v>1</v>
      </c>
    </row>
    <row r="1757" spans="1:8" x14ac:dyDescent="0.25">
      <c r="A1757" s="1" t="str">
        <f>"48116"</f>
        <v>48116</v>
      </c>
      <c r="B1757" s="1" t="str">
        <f>"47664"</f>
        <v>47664</v>
      </c>
      <c r="C1757" s="1" t="str">
        <f>"BRIGHTON"</f>
        <v>BRIGHTON</v>
      </c>
      <c r="D1757" s="1" t="str">
        <f t="shared" si="120"/>
        <v>MI</v>
      </c>
      <c r="E1757" s="2">
        <v>1</v>
      </c>
      <c r="F1757" s="2">
        <v>1</v>
      </c>
      <c r="G1757" s="2">
        <v>1</v>
      </c>
      <c r="H1757" s="2">
        <v>1</v>
      </c>
    </row>
    <row r="1758" spans="1:8" x14ac:dyDescent="0.25">
      <c r="A1758" s="1" t="str">
        <f>"48122"</f>
        <v>48122</v>
      </c>
      <c r="B1758" s="1" t="str">
        <f>"19804"</f>
        <v>19804</v>
      </c>
      <c r="C1758" s="1" t="str">
        <f>"MELVINDALE"</f>
        <v>MELVINDALE</v>
      </c>
      <c r="D1758" s="1" t="str">
        <f t="shared" si="120"/>
        <v>MI</v>
      </c>
      <c r="E1758" s="2">
        <v>1</v>
      </c>
      <c r="F1758" s="2">
        <v>1</v>
      </c>
      <c r="G1758" s="2">
        <v>1</v>
      </c>
      <c r="H1758" s="2">
        <v>1</v>
      </c>
    </row>
    <row r="1759" spans="1:8" x14ac:dyDescent="0.25">
      <c r="A1759" s="1" t="str">
        <f>"60417"</f>
        <v>60417</v>
      </c>
      <c r="B1759" s="1" t="str">
        <f>"16984"</f>
        <v>16984</v>
      </c>
      <c r="C1759" s="1" t="str">
        <f>"CRETE"</f>
        <v>CRETE</v>
      </c>
      <c r="D1759" s="1" t="str">
        <f t="shared" ref="D1759:D1768" si="121">"IL"</f>
        <v>IL</v>
      </c>
      <c r="E1759" s="2">
        <v>1</v>
      </c>
      <c r="F1759" s="2">
        <v>1</v>
      </c>
      <c r="G1759" s="2">
        <v>1</v>
      </c>
      <c r="H1759" s="2">
        <v>1</v>
      </c>
    </row>
    <row r="1760" spans="1:8" x14ac:dyDescent="0.25">
      <c r="A1760" s="1" t="str">
        <f>"60401"</f>
        <v>60401</v>
      </c>
      <c r="B1760" s="1" t="str">
        <f>"16984"</f>
        <v>16984</v>
      </c>
      <c r="C1760" s="1" t="str">
        <f>"BEECHER"</f>
        <v>BEECHER</v>
      </c>
      <c r="D1760" s="1" t="str">
        <f t="shared" si="121"/>
        <v>IL</v>
      </c>
      <c r="E1760" s="2">
        <v>1</v>
      </c>
      <c r="F1760" s="2">
        <v>1</v>
      </c>
      <c r="G1760" s="2">
        <v>1</v>
      </c>
      <c r="H1760" s="2">
        <v>1</v>
      </c>
    </row>
    <row r="1761" spans="1:8" x14ac:dyDescent="0.25">
      <c r="A1761" s="1" t="str">
        <f>"60481"</f>
        <v>60481</v>
      </c>
      <c r="B1761" s="1" t="str">
        <f>"16984"</f>
        <v>16984</v>
      </c>
      <c r="C1761" s="1" t="str">
        <f>"WILMINGTON"</f>
        <v>WILMINGTON</v>
      </c>
      <c r="D1761" s="1" t="str">
        <f t="shared" si="121"/>
        <v>IL</v>
      </c>
      <c r="E1761" s="2">
        <v>1</v>
      </c>
      <c r="F1761" s="2">
        <v>1</v>
      </c>
      <c r="G1761" s="2">
        <v>1</v>
      </c>
      <c r="H1761" s="2">
        <v>1</v>
      </c>
    </row>
    <row r="1762" spans="1:8" x14ac:dyDescent="0.25">
      <c r="A1762" s="1" t="str">
        <f>"60468"</f>
        <v>60468</v>
      </c>
      <c r="B1762" s="1" t="str">
        <f>"16984"</f>
        <v>16984</v>
      </c>
      <c r="C1762" s="1" t="str">
        <f>"PEOTONE"</f>
        <v>PEOTONE</v>
      </c>
      <c r="D1762" s="1" t="str">
        <f t="shared" si="121"/>
        <v>IL</v>
      </c>
      <c r="E1762" s="2">
        <v>1</v>
      </c>
      <c r="F1762" s="2">
        <v>1</v>
      </c>
      <c r="G1762" s="2">
        <v>1</v>
      </c>
      <c r="H1762" s="2">
        <v>1</v>
      </c>
    </row>
    <row r="1763" spans="1:8" x14ac:dyDescent="0.25">
      <c r="A1763" s="1" t="str">
        <f>"60503"</f>
        <v>60503</v>
      </c>
      <c r="B1763" s="1" t="str">
        <f>"16984"</f>
        <v>16984</v>
      </c>
      <c r="C1763" s="1" t="str">
        <f>"AURORA"</f>
        <v>AURORA</v>
      </c>
      <c r="D1763" s="1" t="str">
        <f t="shared" si="121"/>
        <v>IL</v>
      </c>
      <c r="E1763" s="2">
        <v>0.68859011627906896</v>
      </c>
      <c r="F1763" s="2">
        <v>0.71578947368420998</v>
      </c>
      <c r="G1763" s="2">
        <v>0.68</v>
      </c>
      <c r="H1763" s="2">
        <v>0.68901137980085303</v>
      </c>
    </row>
    <row r="1764" spans="1:8" x14ac:dyDescent="0.25">
      <c r="A1764" s="1" t="str">
        <f>"60503"</f>
        <v>60503</v>
      </c>
      <c r="B1764" s="1" t="str">
        <f>"20994"</f>
        <v>20994</v>
      </c>
      <c r="C1764" s="1" t="str">
        <f>"AURORA"</f>
        <v>AURORA</v>
      </c>
      <c r="D1764" s="1" t="str">
        <f t="shared" si="121"/>
        <v>IL</v>
      </c>
      <c r="E1764" s="2">
        <v>0.31140988372092998</v>
      </c>
      <c r="F1764" s="2">
        <v>0.28421052631578902</v>
      </c>
      <c r="G1764" s="2">
        <v>0.32</v>
      </c>
      <c r="H1764" s="2">
        <v>0.31098862019914603</v>
      </c>
    </row>
    <row r="1765" spans="1:8" x14ac:dyDescent="0.25">
      <c r="A1765" s="1" t="str">
        <f>"60534"</f>
        <v>60534</v>
      </c>
      <c r="B1765" s="1" t="str">
        <f>"16984"</f>
        <v>16984</v>
      </c>
      <c r="C1765" s="1" t="str">
        <f>"LYONS"</f>
        <v>LYONS</v>
      </c>
      <c r="D1765" s="1" t="str">
        <f t="shared" si="121"/>
        <v>IL</v>
      </c>
      <c r="E1765" s="2">
        <v>1</v>
      </c>
      <c r="F1765" s="2">
        <v>1</v>
      </c>
      <c r="G1765" s="2">
        <v>1</v>
      </c>
      <c r="H1765" s="2">
        <v>1</v>
      </c>
    </row>
    <row r="1766" spans="1:8" x14ac:dyDescent="0.25">
      <c r="A1766" s="1" t="str">
        <f>"60515"</f>
        <v>60515</v>
      </c>
      <c r="B1766" s="1" t="str">
        <f>"16984"</f>
        <v>16984</v>
      </c>
      <c r="C1766" s="1" t="str">
        <f>"DOWNERS GROVE"</f>
        <v>DOWNERS GROVE</v>
      </c>
      <c r="D1766" s="1" t="str">
        <f t="shared" si="121"/>
        <v>IL</v>
      </c>
      <c r="E1766" s="2">
        <v>1</v>
      </c>
      <c r="F1766" s="2">
        <v>1</v>
      </c>
      <c r="G1766" s="2">
        <v>1</v>
      </c>
      <c r="H1766" s="2">
        <v>1</v>
      </c>
    </row>
    <row r="1767" spans="1:8" x14ac:dyDescent="0.25">
      <c r="A1767" s="1" t="str">
        <f>"60554"</f>
        <v>60554</v>
      </c>
      <c r="B1767" s="1" t="str">
        <f>"20994"</f>
        <v>20994</v>
      </c>
      <c r="C1767" s="1" t="str">
        <f>"SUGAR GROVE"</f>
        <v>SUGAR GROVE</v>
      </c>
      <c r="D1767" s="1" t="str">
        <f t="shared" si="121"/>
        <v>IL</v>
      </c>
      <c r="E1767" s="2">
        <v>1</v>
      </c>
      <c r="F1767" s="2">
        <v>1</v>
      </c>
      <c r="G1767" s="2">
        <v>1</v>
      </c>
      <c r="H1767" s="2">
        <v>1</v>
      </c>
    </row>
    <row r="1768" spans="1:8" x14ac:dyDescent="0.25">
      <c r="A1768" s="1" t="str">
        <f>"60638"</f>
        <v>60638</v>
      </c>
      <c r="B1768" s="1" t="str">
        <f>"16984"</f>
        <v>16984</v>
      </c>
      <c r="C1768" s="1" t="str">
        <f>"CHICAGO"</f>
        <v>CHICAGO</v>
      </c>
      <c r="D1768" s="1" t="str">
        <f t="shared" si="121"/>
        <v>IL</v>
      </c>
      <c r="E1768" s="2">
        <v>1</v>
      </c>
      <c r="F1768" s="2">
        <v>1</v>
      </c>
      <c r="G1768" s="2">
        <v>1</v>
      </c>
      <c r="H1768" s="2">
        <v>1</v>
      </c>
    </row>
    <row r="1769" spans="1:8" x14ac:dyDescent="0.25">
      <c r="A1769" s="1" t="str">
        <f>"75034"</f>
        <v>75034</v>
      </c>
      <c r="B1769" s="1" t="str">
        <f>"19124"</f>
        <v>19124</v>
      </c>
      <c r="C1769" s="1" t="str">
        <f>"FRISCO"</f>
        <v>FRISCO</v>
      </c>
      <c r="D1769" s="1" t="str">
        <f t="shared" ref="D1769:D1777" si="122">"TX"</f>
        <v>TX</v>
      </c>
      <c r="E1769" s="2">
        <v>1</v>
      </c>
      <c r="F1769" s="2">
        <v>1</v>
      </c>
      <c r="G1769" s="2">
        <v>1</v>
      </c>
      <c r="H1769" s="2">
        <v>1</v>
      </c>
    </row>
    <row r="1770" spans="1:8" x14ac:dyDescent="0.25">
      <c r="A1770" s="1" t="str">
        <f>"75238"</f>
        <v>75238</v>
      </c>
      <c r="B1770" s="1" t="str">
        <f>"19124"</f>
        <v>19124</v>
      </c>
      <c r="C1770" s="1" t="str">
        <f>"DALLAS"</f>
        <v>DALLAS</v>
      </c>
      <c r="D1770" s="1" t="str">
        <f t="shared" si="122"/>
        <v>TX</v>
      </c>
      <c r="E1770" s="2">
        <v>1</v>
      </c>
      <c r="F1770" s="2">
        <v>1</v>
      </c>
      <c r="G1770" s="2">
        <v>1</v>
      </c>
      <c r="H1770" s="2">
        <v>1</v>
      </c>
    </row>
    <row r="1771" spans="1:8" x14ac:dyDescent="0.25">
      <c r="A1771" s="1" t="str">
        <f>"75360"</f>
        <v>75360</v>
      </c>
      <c r="B1771" s="1" t="str">
        <f>"19124"</f>
        <v>19124</v>
      </c>
      <c r="C1771" s="1" t="str">
        <f>"DALLAS"</f>
        <v>DALLAS</v>
      </c>
      <c r="D1771" s="1" t="str">
        <f t="shared" si="122"/>
        <v>TX</v>
      </c>
      <c r="E1771" s="2">
        <v>1</v>
      </c>
      <c r="F1771" s="2">
        <v>1</v>
      </c>
      <c r="G1771" s="2">
        <v>1</v>
      </c>
      <c r="H1771" s="2">
        <v>1</v>
      </c>
    </row>
    <row r="1772" spans="1:8" x14ac:dyDescent="0.25">
      <c r="A1772" s="1" t="str">
        <f>"75215"</f>
        <v>75215</v>
      </c>
      <c r="B1772" s="1" t="str">
        <f>"19124"</f>
        <v>19124</v>
      </c>
      <c r="C1772" s="1" t="str">
        <f>"DALLAS"</f>
        <v>DALLAS</v>
      </c>
      <c r="D1772" s="1" t="str">
        <f t="shared" si="122"/>
        <v>TX</v>
      </c>
      <c r="E1772" s="2">
        <v>1</v>
      </c>
      <c r="F1772" s="2">
        <v>1</v>
      </c>
      <c r="G1772" s="2">
        <v>1</v>
      </c>
      <c r="H1772" s="2">
        <v>1</v>
      </c>
    </row>
    <row r="1773" spans="1:8" x14ac:dyDescent="0.25">
      <c r="A1773" s="1" t="str">
        <f>"75424"</f>
        <v>75424</v>
      </c>
      <c r="B1773" s="1" t="str">
        <f>"19124"</f>
        <v>19124</v>
      </c>
      <c r="C1773" s="1" t="str">
        <f>"BLUE RIDGE"</f>
        <v>BLUE RIDGE</v>
      </c>
      <c r="D1773" s="1" t="str">
        <f t="shared" si="122"/>
        <v>TX</v>
      </c>
      <c r="E1773" s="2">
        <v>1</v>
      </c>
      <c r="F1773" s="2">
        <v>1</v>
      </c>
      <c r="G1773" s="2">
        <v>1</v>
      </c>
      <c r="H1773" s="2">
        <v>1</v>
      </c>
    </row>
    <row r="1774" spans="1:8" x14ac:dyDescent="0.25">
      <c r="A1774" s="1" t="str">
        <f>"76147"</f>
        <v>76147</v>
      </c>
      <c r="B1774" s="1" t="str">
        <f>"23104"</f>
        <v>23104</v>
      </c>
      <c r="C1774" s="1" t="str">
        <f>"FORT WORTH"</f>
        <v>FORT WORTH</v>
      </c>
      <c r="D1774" s="1" t="str">
        <f t="shared" si="122"/>
        <v>TX</v>
      </c>
      <c r="E1774" s="2">
        <v>1</v>
      </c>
      <c r="F1774" s="2">
        <v>1</v>
      </c>
      <c r="G1774" s="2">
        <v>1</v>
      </c>
      <c r="H1774" s="2">
        <v>1</v>
      </c>
    </row>
    <row r="1775" spans="1:8" x14ac:dyDescent="0.25">
      <c r="A1775" s="1" t="str">
        <f>"76206"</f>
        <v>76206</v>
      </c>
      <c r="B1775" s="1" t="str">
        <f>"19124"</f>
        <v>19124</v>
      </c>
      <c r="C1775" s="1" t="str">
        <f>"DENTON"</f>
        <v>DENTON</v>
      </c>
      <c r="D1775" s="1" t="str">
        <f t="shared" si="122"/>
        <v>TX</v>
      </c>
      <c r="E1775" s="2">
        <v>1</v>
      </c>
      <c r="F1775" s="2">
        <v>1</v>
      </c>
      <c r="G1775" s="2">
        <v>1</v>
      </c>
      <c r="H1775" s="2">
        <v>1</v>
      </c>
    </row>
    <row r="1776" spans="1:8" x14ac:dyDescent="0.25">
      <c r="A1776" s="1" t="str">
        <f>"76112"</f>
        <v>76112</v>
      </c>
      <c r="B1776" s="1" t="str">
        <f>"23104"</f>
        <v>23104</v>
      </c>
      <c r="C1776" s="1" t="str">
        <f>"FORT WORTH"</f>
        <v>FORT WORTH</v>
      </c>
      <c r="D1776" s="1" t="str">
        <f t="shared" si="122"/>
        <v>TX</v>
      </c>
      <c r="E1776" s="2">
        <v>1</v>
      </c>
      <c r="F1776" s="2">
        <v>1</v>
      </c>
      <c r="G1776" s="2">
        <v>1</v>
      </c>
      <c r="H1776" s="2">
        <v>1</v>
      </c>
    </row>
    <row r="1777" spans="1:8" x14ac:dyDescent="0.25">
      <c r="A1777" s="1" t="str">
        <f>"76007"</f>
        <v>76007</v>
      </c>
      <c r="B1777" s="1" t="str">
        <f>"23104"</f>
        <v>23104</v>
      </c>
      <c r="C1777" s="1" t="str">
        <f>"ARLINGTON"</f>
        <v>ARLINGTON</v>
      </c>
      <c r="D1777" s="1" t="str">
        <f t="shared" si="122"/>
        <v>TX</v>
      </c>
      <c r="E1777" s="2">
        <v>1</v>
      </c>
      <c r="F1777" s="2">
        <v>1</v>
      </c>
      <c r="G1777" s="2">
        <v>1</v>
      </c>
      <c r="H1777" s="2">
        <v>1</v>
      </c>
    </row>
    <row r="1778" spans="1:8" x14ac:dyDescent="0.25">
      <c r="A1778" s="1" t="str">
        <f>"90024"</f>
        <v>90024</v>
      </c>
      <c r="B1778" s="1" t="str">
        <f t="shared" ref="B1778:B1786" si="123">"31084"</f>
        <v>31084</v>
      </c>
      <c r="C1778" s="1" t="str">
        <f>"LOS ANGELES"</f>
        <v>LOS ANGELES</v>
      </c>
      <c r="D1778" s="1" t="str">
        <f t="shared" ref="D1778:D1795" si="124">"CA"</f>
        <v>CA</v>
      </c>
      <c r="E1778" s="2">
        <v>1</v>
      </c>
      <c r="F1778" s="2">
        <v>1</v>
      </c>
      <c r="G1778" s="2">
        <v>1</v>
      </c>
      <c r="H1778" s="2">
        <v>1</v>
      </c>
    </row>
    <row r="1779" spans="1:8" x14ac:dyDescent="0.25">
      <c r="A1779" s="1" t="str">
        <f>"90232"</f>
        <v>90232</v>
      </c>
      <c r="B1779" s="1" t="str">
        <f t="shared" si="123"/>
        <v>31084</v>
      </c>
      <c r="C1779" s="1" t="str">
        <f>"CULVER CITY"</f>
        <v>CULVER CITY</v>
      </c>
      <c r="D1779" s="1" t="str">
        <f t="shared" si="124"/>
        <v>CA</v>
      </c>
      <c r="E1779" s="2">
        <v>1</v>
      </c>
      <c r="F1779" s="2">
        <v>1</v>
      </c>
      <c r="G1779" s="2">
        <v>1</v>
      </c>
      <c r="H1779" s="2">
        <v>1</v>
      </c>
    </row>
    <row r="1780" spans="1:8" x14ac:dyDescent="0.25">
      <c r="A1780" s="1" t="str">
        <f>"90046"</f>
        <v>90046</v>
      </c>
      <c r="B1780" s="1" t="str">
        <f t="shared" si="123"/>
        <v>31084</v>
      </c>
      <c r="C1780" s="1" t="str">
        <f>"LOS ANGELES"</f>
        <v>LOS ANGELES</v>
      </c>
      <c r="D1780" s="1" t="str">
        <f t="shared" si="124"/>
        <v>CA</v>
      </c>
      <c r="E1780" s="2">
        <v>1</v>
      </c>
      <c r="F1780" s="2">
        <v>1</v>
      </c>
      <c r="G1780" s="2">
        <v>1</v>
      </c>
      <c r="H1780" s="2">
        <v>1</v>
      </c>
    </row>
    <row r="1781" spans="1:8" x14ac:dyDescent="0.25">
      <c r="A1781" s="1" t="str">
        <f>"90810"</f>
        <v>90810</v>
      </c>
      <c r="B1781" s="1" t="str">
        <f t="shared" si="123"/>
        <v>31084</v>
      </c>
      <c r="C1781" s="1" t="str">
        <f>"LONG BEACH"</f>
        <v>LONG BEACH</v>
      </c>
      <c r="D1781" s="1" t="str">
        <f t="shared" si="124"/>
        <v>CA</v>
      </c>
      <c r="E1781" s="2">
        <v>1</v>
      </c>
      <c r="F1781" s="2">
        <v>1</v>
      </c>
      <c r="G1781" s="2">
        <v>1</v>
      </c>
      <c r="H1781" s="2">
        <v>1</v>
      </c>
    </row>
    <row r="1782" spans="1:8" x14ac:dyDescent="0.25">
      <c r="A1782" s="1" t="str">
        <f>"90502"</f>
        <v>90502</v>
      </c>
      <c r="B1782" s="1" t="str">
        <f t="shared" si="123"/>
        <v>31084</v>
      </c>
      <c r="C1782" s="1" t="str">
        <f>"TORRANCE"</f>
        <v>TORRANCE</v>
      </c>
      <c r="D1782" s="1" t="str">
        <f t="shared" si="124"/>
        <v>CA</v>
      </c>
      <c r="E1782" s="2">
        <v>1</v>
      </c>
      <c r="F1782" s="2">
        <v>1</v>
      </c>
      <c r="G1782" s="2">
        <v>1</v>
      </c>
      <c r="H1782" s="2">
        <v>1</v>
      </c>
    </row>
    <row r="1783" spans="1:8" x14ac:dyDescent="0.25">
      <c r="A1783" s="1" t="str">
        <f>"90402"</f>
        <v>90402</v>
      </c>
      <c r="B1783" s="1" t="str">
        <f t="shared" si="123"/>
        <v>31084</v>
      </c>
      <c r="C1783" s="1" t="str">
        <f>"SANTA MONICA"</f>
        <v>SANTA MONICA</v>
      </c>
      <c r="D1783" s="1" t="str">
        <f t="shared" si="124"/>
        <v>CA</v>
      </c>
      <c r="E1783" s="2">
        <v>1</v>
      </c>
      <c r="F1783" s="2">
        <v>1</v>
      </c>
      <c r="G1783" s="2">
        <v>1</v>
      </c>
      <c r="H1783" s="2">
        <v>1</v>
      </c>
    </row>
    <row r="1784" spans="1:8" x14ac:dyDescent="0.25">
      <c r="A1784" s="1" t="str">
        <f>"91502"</f>
        <v>91502</v>
      </c>
      <c r="B1784" s="1" t="str">
        <f t="shared" si="123"/>
        <v>31084</v>
      </c>
      <c r="C1784" s="1" t="str">
        <f>"BURBANK"</f>
        <v>BURBANK</v>
      </c>
      <c r="D1784" s="1" t="str">
        <f t="shared" si="124"/>
        <v>CA</v>
      </c>
      <c r="E1784" s="2">
        <v>1</v>
      </c>
      <c r="F1784" s="2">
        <v>1</v>
      </c>
      <c r="G1784" s="2">
        <v>1</v>
      </c>
      <c r="H1784" s="2">
        <v>1</v>
      </c>
    </row>
    <row r="1785" spans="1:8" x14ac:dyDescent="0.25">
      <c r="A1785" s="1" t="str">
        <f>"90805"</f>
        <v>90805</v>
      </c>
      <c r="B1785" s="1" t="str">
        <f t="shared" si="123"/>
        <v>31084</v>
      </c>
      <c r="C1785" s="1" t="str">
        <f>"LONG BEACH"</f>
        <v>LONG BEACH</v>
      </c>
      <c r="D1785" s="1" t="str">
        <f t="shared" si="124"/>
        <v>CA</v>
      </c>
      <c r="E1785" s="2">
        <v>1</v>
      </c>
      <c r="F1785" s="2">
        <v>1</v>
      </c>
      <c r="G1785" s="2">
        <v>1</v>
      </c>
      <c r="H1785" s="2">
        <v>1</v>
      </c>
    </row>
    <row r="1786" spans="1:8" x14ac:dyDescent="0.25">
      <c r="A1786" s="1" t="str">
        <f>"93591"</f>
        <v>93591</v>
      </c>
      <c r="B1786" s="1" t="str">
        <f t="shared" si="123"/>
        <v>31084</v>
      </c>
      <c r="C1786" s="1" t="str">
        <f>"PALMDALE"</f>
        <v>PALMDALE</v>
      </c>
      <c r="D1786" s="1" t="str">
        <f t="shared" si="124"/>
        <v>CA</v>
      </c>
      <c r="E1786" s="2">
        <v>1</v>
      </c>
      <c r="F1786" s="2">
        <v>1</v>
      </c>
      <c r="G1786" s="2">
        <v>1</v>
      </c>
      <c r="H1786" s="2">
        <v>1</v>
      </c>
    </row>
    <row r="1787" spans="1:8" x14ac:dyDescent="0.25">
      <c r="A1787" s="1" t="str">
        <f>"92821"</f>
        <v>92821</v>
      </c>
      <c r="B1787" s="1" t="str">
        <f>"11244"</f>
        <v>11244</v>
      </c>
      <c r="C1787" s="1" t="str">
        <f>"BREA"</f>
        <v>BREA</v>
      </c>
      <c r="D1787" s="1" t="str">
        <f t="shared" si="124"/>
        <v>CA</v>
      </c>
      <c r="E1787" s="2">
        <v>1</v>
      </c>
      <c r="F1787" s="2">
        <v>1</v>
      </c>
      <c r="G1787" s="2">
        <v>1</v>
      </c>
      <c r="H1787" s="2">
        <v>1</v>
      </c>
    </row>
    <row r="1788" spans="1:8" x14ac:dyDescent="0.25">
      <c r="A1788" s="1" t="str">
        <f>"91754"</f>
        <v>91754</v>
      </c>
      <c r="B1788" s="1" t="str">
        <f>"31084"</f>
        <v>31084</v>
      </c>
      <c r="C1788" s="1" t="str">
        <f>"MONTEREY PARK"</f>
        <v>MONTEREY PARK</v>
      </c>
      <c r="D1788" s="1" t="str">
        <f t="shared" si="124"/>
        <v>CA</v>
      </c>
      <c r="E1788" s="2">
        <v>1</v>
      </c>
      <c r="F1788" s="2">
        <v>1</v>
      </c>
      <c r="G1788" s="2">
        <v>1</v>
      </c>
      <c r="H1788" s="2">
        <v>1</v>
      </c>
    </row>
    <row r="1789" spans="1:8" x14ac:dyDescent="0.25">
      <c r="A1789" s="1" t="str">
        <f>"91724"</f>
        <v>91724</v>
      </c>
      <c r="B1789" s="1" t="str">
        <f>"31084"</f>
        <v>31084</v>
      </c>
      <c r="C1789" s="1" t="str">
        <f>"COVINA"</f>
        <v>COVINA</v>
      </c>
      <c r="D1789" s="1" t="str">
        <f t="shared" si="124"/>
        <v>CA</v>
      </c>
      <c r="E1789" s="2">
        <v>1</v>
      </c>
      <c r="F1789" s="2">
        <v>1</v>
      </c>
      <c r="G1789" s="2">
        <v>1</v>
      </c>
      <c r="H1789" s="2">
        <v>1</v>
      </c>
    </row>
    <row r="1790" spans="1:8" x14ac:dyDescent="0.25">
      <c r="A1790" s="1" t="str">
        <f>"91734"</f>
        <v>91734</v>
      </c>
      <c r="B1790" s="1" t="str">
        <f>"31084"</f>
        <v>31084</v>
      </c>
      <c r="C1790" s="1" t="str">
        <f>"EL MONTE"</f>
        <v>EL MONTE</v>
      </c>
      <c r="D1790" s="1" t="str">
        <f t="shared" si="124"/>
        <v>CA</v>
      </c>
      <c r="E1790" s="2">
        <v>1</v>
      </c>
      <c r="F1790" s="2">
        <v>1</v>
      </c>
      <c r="G1790" s="2">
        <v>1</v>
      </c>
      <c r="H1790" s="2">
        <v>1</v>
      </c>
    </row>
    <row r="1791" spans="1:8" x14ac:dyDescent="0.25">
      <c r="A1791" s="1" t="str">
        <f>"92861"</f>
        <v>92861</v>
      </c>
      <c r="B1791" s="1" t="str">
        <f>"11244"</f>
        <v>11244</v>
      </c>
      <c r="C1791" s="1" t="str">
        <f>"VILLA PARK"</f>
        <v>VILLA PARK</v>
      </c>
      <c r="D1791" s="1" t="str">
        <f t="shared" si="124"/>
        <v>CA</v>
      </c>
      <c r="E1791" s="2">
        <v>1</v>
      </c>
      <c r="F1791" s="2">
        <v>1</v>
      </c>
      <c r="G1791" s="2">
        <v>1</v>
      </c>
      <c r="H1791" s="2">
        <v>1</v>
      </c>
    </row>
    <row r="1792" spans="1:8" x14ac:dyDescent="0.25">
      <c r="A1792" s="1" t="str">
        <f>"94111"</f>
        <v>94111</v>
      </c>
      <c r="B1792" s="1" t="str">
        <f>"41884"</f>
        <v>41884</v>
      </c>
      <c r="C1792" s="1" t="str">
        <f>"SAN FRANCISCO"</f>
        <v>SAN FRANCISCO</v>
      </c>
      <c r="D1792" s="1" t="str">
        <f t="shared" si="124"/>
        <v>CA</v>
      </c>
      <c r="E1792" s="2">
        <v>1</v>
      </c>
      <c r="F1792" s="2">
        <v>1</v>
      </c>
      <c r="G1792" s="2">
        <v>1</v>
      </c>
      <c r="H1792" s="2">
        <v>1</v>
      </c>
    </row>
    <row r="1793" spans="1:8" x14ac:dyDescent="0.25">
      <c r="A1793" s="1" t="str">
        <f>"94536"</f>
        <v>94536</v>
      </c>
      <c r="B1793" s="1" t="str">
        <f>"36084"</f>
        <v>36084</v>
      </c>
      <c r="C1793" s="1" t="str">
        <f>"FREMONT"</f>
        <v>FREMONT</v>
      </c>
      <c r="D1793" s="1" t="str">
        <f t="shared" si="124"/>
        <v>CA</v>
      </c>
      <c r="E1793" s="2">
        <v>1</v>
      </c>
      <c r="F1793" s="2">
        <v>1</v>
      </c>
      <c r="G1793" s="2">
        <v>1</v>
      </c>
      <c r="H1793" s="2">
        <v>1</v>
      </c>
    </row>
    <row r="1794" spans="1:8" x14ac:dyDescent="0.25">
      <c r="A1794" s="1" t="str">
        <f>"94578"</f>
        <v>94578</v>
      </c>
      <c r="B1794" s="1" t="str">
        <f>"36084"</f>
        <v>36084</v>
      </c>
      <c r="C1794" s="1" t="str">
        <f>"SAN LEANDRO"</f>
        <v>SAN LEANDRO</v>
      </c>
      <c r="D1794" s="1" t="str">
        <f t="shared" si="124"/>
        <v>CA</v>
      </c>
      <c r="E1794" s="2">
        <v>1</v>
      </c>
      <c r="F1794" s="2">
        <v>1</v>
      </c>
      <c r="G1794" s="2">
        <v>1</v>
      </c>
      <c r="H1794" s="2">
        <v>1</v>
      </c>
    </row>
    <row r="1795" spans="1:8" x14ac:dyDescent="0.25">
      <c r="A1795" s="1" t="str">
        <f>"94805"</f>
        <v>94805</v>
      </c>
      <c r="B1795" s="1" t="str">
        <f>"36084"</f>
        <v>36084</v>
      </c>
      <c r="C1795" s="1" t="str">
        <f>"RICHMOND"</f>
        <v>RICHMOND</v>
      </c>
      <c r="D1795" s="1" t="str">
        <f t="shared" si="124"/>
        <v>CA</v>
      </c>
      <c r="E1795" s="2">
        <v>1</v>
      </c>
      <c r="F1795" s="2">
        <v>1</v>
      </c>
      <c r="G1795" s="2">
        <v>1</v>
      </c>
      <c r="H1795" s="2">
        <v>1</v>
      </c>
    </row>
    <row r="1796" spans="1:8" x14ac:dyDescent="0.25">
      <c r="A1796" s="1" t="str">
        <f>"98026"</f>
        <v>98026</v>
      </c>
      <c r="B1796" s="1" t="str">
        <f>"42644"</f>
        <v>42644</v>
      </c>
      <c r="C1796" s="1" t="str">
        <f>"EDMONDS"</f>
        <v>EDMONDS</v>
      </c>
      <c r="D1796" s="1" t="str">
        <f>"WA"</f>
        <v>WA</v>
      </c>
      <c r="E1796" s="2">
        <v>1</v>
      </c>
      <c r="F1796" s="2">
        <v>1</v>
      </c>
      <c r="G1796" s="2">
        <v>1</v>
      </c>
      <c r="H1796" s="2">
        <v>1</v>
      </c>
    </row>
    <row r="1797" spans="1:8" x14ac:dyDescent="0.25">
      <c r="A1797" s="1" t="str">
        <f>"98327"</f>
        <v>98327</v>
      </c>
      <c r="B1797" s="1" t="str">
        <f>"45104"</f>
        <v>45104</v>
      </c>
      <c r="C1797" s="1" t="str">
        <f>"DUPONT"</f>
        <v>DUPONT</v>
      </c>
      <c r="D1797" s="1" t="str">
        <f>"WA"</f>
        <v>WA</v>
      </c>
      <c r="E1797" s="2">
        <v>1</v>
      </c>
      <c r="F1797" s="2">
        <v>1</v>
      </c>
      <c r="G1797" s="2">
        <v>1</v>
      </c>
      <c r="H1797" s="2">
        <v>1</v>
      </c>
    </row>
    <row r="1798" spans="1:8" x14ac:dyDescent="0.25">
      <c r="A1798" s="1" t="str">
        <f>"98177"</f>
        <v>98177</v>
      </c>
      <c r="B1798" s="1" t="str">
        <f>"42644"</f>
        <v>42644</v>
      </c>
      <c r="C1798" s="1" t="str">
        <f>"SEATTLE"</f>
        <v>SEATTLE</v>
      </c>
      <c r="D1798" s="1" t="str">
        <f>"WA"</f>
        <v>WA</v>
      </c>
      <c r="E1798" s="2">
        <v>1</v>
      </c>
      <c r="F1798" s="2">
        <v>1</v>
      </c>
      <c r="G1798" s="2">
        <v>1</v>
      </c>
      <c r="H1798" s="2">
        <v>1</v>
      </c>
    </row>
    <row r="1799" spans="1:8" x14ac:dyDescent="0.25">
      <c r="A1799" s="1" t="str">
        <f>"07602"</f>
        <v>07602</v>
      </c>
      <c r="B1799" s="1" t="str">
        <f>"35614"</f>
        <v>35614</v>
      </c>
      <c r="C1799" s="1" t="str">
        <f>"HACKENSACK"</f>
        <v>HACKENSACK</v>
      </c>
      <c r="D1799" s="1" t="str">
        <f>"NJ"</f>
        <v>NJ</v>
      </c>
      <c r="E1799" s="2">
        <v>1</v>
      </c>
      <c r="F1799" s="2">
        <v>1</v>
      </c>
      <c r="G1799" s="2">
        <v>1</v>
      </c>
      <c r="H1799" s="2">
        <v>1</v>
      </c>
    </row>
    <row r="1800" spans="1:8" x14ac:dyDescent="0.25">
      <c r="A1800" s="1" t="str">
        <f>"07803"</f>
        <v>07803</v>
      </c>
      <c r="B1800" s="1" t="str">
        <f>"35084"</f>
        <v>35084</v>
      </c>
      <c r="C1800" s="1" t="str">
        <f>"MINE HILL"</f>
        <v>MINE HILL</v>
      </c>
      <c r="D1800" s="1" t="str">
        <f>"NJ"</f>
        <v>NJ</v>
      </c>
      <c r="E1800" s="2">
        <v>1</v>
      </c>
      <c r="F1800" s="2">
        <v>1</v>
      </c>
      <c r="G1800" s="2">
        <v>1</v>
      </c>
      <c r="H1800" s="2">
        <v>1</v>
      </c>
    </row>
    <row r="1801" spans="1:8" x14ac:dyDescent="0.25">
      <c r="A1801" s="1" t="str">
        <f>"08061"</f>
        <v>08061</v>
      </c>
      <c r="B1801" s="1" t="str">
        <f>"15804"</f>
        <v>15804</v>
      </c>
      <c r="C1801" s="1" t="str">
        <f>"MOUNT ROYAL"</f>
        <v>MOUNT ROYAL</v>
      </c>
      <c r="D1801" s="1" t="str">
        <f>"NJ"</f>
        <v>NJ</v>
      </c>
      <c r="E1801" s="2">
        <v>1</v>
      </c>
      <c r="F1801" s="2">
        <v>1</v>
      </c>
      <c r="G1801" s="2">
        <v>1</v>
      </c>
      <c r="H1801" s="2">
        <v>1</v>
      </c>
    </row>
    <row r="1802" spans="1:8" x14ac:dyDescent="0.25">
      <c r="A1802" s="1" t="str">
        <f>"08829"</f>
        <v>08829</v>
      </c>
      <c r="B1802" s="1" t="str">
        <f>"35084"</f>
        <v>35084</v>
      </c>
      <c r="C1802" s="1" t="str">
        <f>"HIGH BRIDGE"</f>
        <v>HIGH BRIDGE</v>
      </c>
      <c r="D1802" s="1" t="str">
        <f>"NJ"</f>
        <v>NJ</v>
      </c>
      <c r="E1802" s="2">
        <v>1</v>
      </c>
      <c r="F1802" s="2">
        <v>1</v>
      </c>
      <c r="G1802" s="2">
        <v>1</v>
      </c>
      <c r="H1802" s="2">
        <v>1</v>
      </c>
    </row>
    <row r="1803" spans="1:8" x14ac:dyDescent="0.25">
      <c r="A1803" s="1" t="str">
        <f>"11024"</f>
        <v>11024</v>
      </c>
      <c r="B1803" s="1" t="str">
        <f>"35004"</f>
        <v>35004</v>
      </c>
      <c r="C1803" s="1" t="str">
        <f>"GREAT NECK"</f>
        <v>GREAT NECK</v>
      </c>
      <c r="D1803" s="1" t="str">
        <f>"NY"</f>
        <v>NY</v>
      </c>
      <c r="E1803" s="2">
        <v>1</v>
      </c>
      <c r="F1803" s="2">
        <v>1</v>
      </c>
      <c r="G1803" s="2">
        <v>1</v>
      </c>
      <c r="H1803" s="2">
        <v>1</v>
      </c>
    </row>
    <row r="1804" spans="1:8" x14ac:dyDescent="0.25">
      <c r="A1804" s="1" t="str">
        <f>"11802"</f>
        <v>11802</v>
      </c>
      <c r="B1804" s="1" t="str">
        <f>"35004"</f>
        <v>35004</v>
      </c>
      <c r="C1804" s="1" t="str">
        <f>"HICKSVILLE"</f>
        <v>HICKSVILLE</v>
      </c>
      <c r="D1804" s="1" t="str">
        <f>"NY"</f>
        <v>NY</v>
      </c>
      <c r="E1804" s="2">
        <v>1</v>
      </c>
      <c r="F1804" s="2">
        <v>1</v>
      </c>
      <c r="G1804" s="2">
        <v>1</v>
      </c>
      <c r="H1804" s="2">
        <v>1</v>
      </c>
    </row>
    <row r="1805" spans="1:8" x14ac:dyDescent="0.25">
      <c r="A1805" s="1" t="str">
        <f>"11794"</f>
        <v>11794</v>
      </c>
      <c r="B1805" s="1" t="str">
        <f>"35004"</f>
        <v>35004</v>
      </c>
      <c r="C1805" s="1" t="str">
        <f>"STONY BROOK"</f>
        <v>STONY BROOK</v>
      </c>
      <c r="D1805" s="1" t="str">
        <f>"NY"</f>
        <v>NY</v>
      </c>
      <c r="E1805" s="2">
        <v>0</v>
      </c>
      <c r="F1805" s="2">
        <v>1</v>
      </c>
      <c r="G1805" s="2">
        <v>0</v>
      </c>
      <c r="H1805" s="2">
        <v>1</v>
      </c>
    </row>
    <row r="1806" spans="1:8" x14ac:dyDescent="0.25">
      <c r="A1806" s="1" t="str">
        <f>"11975"</f>
        <v>11975</v>
      </c>
      <c r="B1806" s="1" t="str">
        <f>"35004"</f>
        <v>35004</v>
      </c>
      <c r="C1806" s="1" t="str">
        <f>"WAINSCOTT"</f>
        <v>WAINSCOTT</v>
      </c>
      <c r="D1806" s="1" t="str">
        <f>"NY"</f>
        <v>NY</v>
      </c>
      <c r="E1806" s="2">
        <v>1</v>
      </c>
      <c r="F1806" s="2">
        <v>1</v>
      </c>
      <c r="G1806" s="2">
        <v>1</v>
      </c>
      <c r="H1806" s="2">
        <v>1</v>
      </c>
    </row>
    <row r="1807" spans="1:8" x14ac:dyDescent="0.25">
      <c r="A1807" s="1" t="str">
        <f>"18963"</f>
        <v>18963</v>
      </c>
      <c r="B1807" s="1" t="str">
        <f>"33874"</f>
        <v>33874</v>
      </c>
      <c r="C1807" s="1" t="str">
        <f>"SOLEBURY"</f>
        <v>SOLEBURY</v>
      </c>
      <c r="D1807" s="1" t="str">
        <f>"PA"</f>
        <v>PA</v>
      </c>
      <c r="E1807" s="2">
        <v>1</v>
      </c>
      <c r="F1807" s="2">
        <v>1</v>
      </c>
      <c r="G1807" s="2">
        <v>1</v>
      </c>
      <c r="H1807" s="2">
        <v>1</v>
      </c>
    </row>
    <row r="1808" spans="1:8" x14ac:dyDescent="0.25">
      <c r="A1808" s="1" t="str">
        <f>"20033"</f>
        <v>20033</v>
      </c>
      <c r="B1808" s="1" t="str">
        <f>"47894"</f>
        <v>47894</v>
      </c>
      <c r="C1808" s="1" t="str">
        <f>"WASHINGTON"</f>
        <v>WASHINGTON</v>
      </c>
      <c r="D1808" s="1" t="str">
        <f>"DC"</f>
        <v>DC</v>
      </c>
      <c r="E1808" s="2">
        <v>1</v>
      </c>
      <c r="F1808" s="2">
        <v>1</v>
      </c>
      <c r="G1808" s="2">
        <v>1</v>
      </c>
      <c r="H1808" s="2">
        <v>1</v>
      </c>
    </row>
    <row r="1809" spans="1:8" x14ac:dyDescent="0.25">
      <c r="A1809" s="1" t="str">
        <f>"20899"</f>
        <v>20899</v>
      </c>
      <c r="B1809" s="1" t="str">
        <f>"23224"</f>
        <v>23224</v>
      </c>
      <c r="C1809" s="1" t="str">
        <f>"GAITHERSBURG"</f>
        <v>GAITHERSBURG</v>
      </c>
      <c r="D1809" s="1" t="str">
        <f>"MD"</f>
        <v>MD</v>
      </c>
      <c r="E1809" s="2">
        <v>0</v>
      </c>
      <c r="F1809" s="2">
        <v>1</v>
      </c>
      <c r="G1809" s="2">
        <v>1</v>
      </c>
      <c r="H1809" s="2">
        <v>1</v>
      </c>
    </row>
    <row r="1810" spans="1:8" x14ac:dyDescent="0.25">
      <c r="A1810" s="1" t="str">
        <f>"33420"</f>
        <v>33420</v>
      </c>
      <c r="B1810" s="1" t="str">
        <f>"48424"</f>
        <v>48424</v>
      </c>
      <c r="C1810" s="1" t="str">
        <f>"WEST PALM BEACH"</f>
        <v>WEST PALM BEACH</v>
      </c>
      <c r="D1810" s="1" t="str">
        <f>"FL"</f>
        <v>FL</v>
      </c>
      <c r="E1810" s="2">
        <v>1</v>
      </c>
      <c r="F1810" s="2">
        <v>1</v>
      </c>
      <c r="G1810" s="2">
        <v>1</v>
      </c>
      <c r="H1810" s="2">
        <v>1</v>
      </c>
    </row>
    <row r="1811" spans="1:8" x14ac:dyDescent="0.25">
      <c r="A1811" s="1" t="str">
        <f>"60695"</f>
        <v>60695</v>
      </c>
      <c r="B1811" s="1" t="str">
        <f>"16984"</f>
        <v>16984</v>
      </c>
      <c r="C1811" s="1" t="str">
        <f>"CHICAGO"</f>
        <v>CHICAGO</v>
      </c>
      <c r="D1811" s="1" t="str">
        <f>"IL"</f>
        <v>IL</v>
      </c>
      <c r="E1811" s="2">
        <v>0</v>
      </c>
      <c r="F1811" s="2">
        <v>0</v>
      </c>
      <c r="G1811" s="2">
        <v>1</v>
      </c>
      <c r="H1811" s="2">
        <v>1</v>
      </c>
    </row>
    <row r="1812" spans="1:8" x14ac:dyDescent="0.25">
      <c r="A1812" s="1" t="str">
        <f>"75370"</f>
        <v>75370</v>
      </c>
      <c r="B1812" s="1" t="str">
        <f>"19124"</f>
        <v>19124</v>
      </c>
      <c r="C1812" s="1" t="str">
        <f>"DALLAS"</f>
        <v>DALLAS</v>
      </c>
      <c r="D1812" s="1" t="str">
        <f>"TX"</f>
        <v>TX</v>
      </c>
      <c r="E1812" s="2">
        <v>1</v>
      </c>
      <c r="F1812" s="2">
        <v>1</v>
      </c>
      <c r="G1812" s="2">
        <v>1</v>
      </c>
      <c r="H1812" s="2">
        <v>1</v>
      </c>
    </row>
    <row r="1813" spans="1:8" x14ac:dyDescent="0.25">
      <c r="A1813" s="1" t="str">
        <f>"90087"</f>
        <v>90087</v>
      </c>
      <c r="B1813" s="1" t="str">
        <f>"31084"</f>
        <v>31084</v>
      </c>
      <c r="C1813" s="1" t="str">
        <f>"LOS ANGELES"</f>
        <v>LOS ANGELES</v>
      </c>
      <c r="D1813" s="1" t="str">
        <f>"CA"</f>
        <v>CA</v>
      </c>
      <c r="E1813" s="2">
        <v>1</v>
      </c>
      <c r="F1813" s="2">
        <v>1</v>
      </c>
      <c r="G1813" s="2">
        <v>1</v>
      </c>
      <c r="H1813" s="2">
        <v>1</v>
      </c>
    </row>
    <row r="1814" spans="1:8" x14ac:dyDescent="0.25">
      <c r="A1814" s="1" t="str">
        <f>"90714"</f>
        <v>90714</v>
      </c>
      <c r="B1814" s="1" t="str">
        <f>"31084"</f>
        <v>31084</v>
      </c>
      <c r="C1814" s="1" t="str">
        <f>"LAKEWOOD"</f>
        <v>LAKEWOOD</v>
      </c>
      <c r="D1814" s="1" t="str">
        <f>"CA"</f>
        <v>CA</v>
      </c>
      <c r="E1814" s="2">
        <v>1</v>
      </c>
      <c r="F1814" s="2">
        <v>1</v>
      </c>
      <c r="G1814" s="2">
        <v>1</v>
      </c>
      <c r="H1814" s="2">
        <v>1</v>
      </c>
    </row>
    <row r="1815" spans="1:8" x14ac:dyDescent="0.25">
      <c r="A1815" s="1" t="str">
        <f>"19395"</f>
        <v>19395</v>
      </c>
      <c r="B1815" s="1" t="str">
        <f>"33874"</f>
        <v>33874</v>
      </c>
      <c r="C1815" s="1" t="str">
        <f>"WESTTOWN"</f>
        <v>WESTTOWN</v>
      </c>
      <c r="D1815" s="1" t="str">
        <f>"PA"</f>
        <v>PA</v>
      </c>
      <c r="E1815" s="2">
        <v>1</v>
      </c>
      <c r="F1815" s="2">
        <v>1</v>
      </c>
      <c r="G1815" s="2">
        <v>1</v>
      </c>
      <c r="H1815" s="2">
        <v>1</v>
      </c>
    </row>
    <row r="1816" spans="1:8" x14ac:dyDescent="0.25">
      <c r="A1816" s="1" t="str">
        <f>"33346"</f>
        <v>33346</v>
      </c>
      <c r="B1816" s="1" t="str">
        <f>"22744"</f>
        <v>22744</v>
      </c>
      <c r="C1816" s="1" t="str">
        <f>"FORT LAUDERDALE"</f>
        <v>FORT LAUDERDALE</v>
      </c>
      <c r="D1816" s="1" t="str">
        <f>"FL"</f>
        <v>FL</v>
      </c>
      <c r="E1816" s="2">
        <v>1</v>
      </c>
      <c r="F1816" s="2">
        <v>1</v>
      </c>
      <c r="G1816" s="2">
        <v>1</v>
      </c>
      <c r="H1816" s="2">
        <v>1</v>
      </c>
    </row>
    <row r="1817" spans="1:8" x14ac:dyDescent="0.25">
      <c r="A1817" s="1" t="str">
        <f>"20029"</f>
        <v>20029</v>
      </c>
      <c r="B1817" s="1" t="str">
        <f>"47894"</f>
        <v>47894</v>
      </c>
      <c r="C1817" s="1" t="str">
        <f>"WASHINGTON"</f>
        <v>WASHINGTON</v>
      </c>
      <c r="D1817" s="1" t="str">
        <f>"DC"</f>
        <v>DC</v>
      </c>
      <c r="E1817" s="2">
        <v>1</v>
      </c>
      <c r="F1817" s="2">
        <v>1</v>
      </c>
      <c r="G1817" s="2">
        <v>1</v>
      </c>
      <c r="H1817" s="2">
        <v>1</v>
      </c>
    </row>
    <row r="1818" spans="1:8" x14ac:dyDescent="0.25">
      <c r="A1818" s="1" t="str">
        <f>"48068"</f>
        <v>48068</v>
      </c>
      <c r="B1818" s="1" t="str">
        <f>"47664"</f>
        <v>47664</v>
      </c>
      <c r="C1818" s="1" t="str">
        <f>"ROYAL OAK"</f>
        <v>ROYAL OAK</v>
      </c>
      <c r="D1818" s="1" t="str">
        <f>"MI"</f>
        <v>MI</v>
      </c>
      <c r="E1818" s="2">
        <v>1</v>
      </c>
      <c r="F1818" s="2">
        <v>1</v>
      </c>
      <c r="G1818" s="2">
        <v>1</v>
      </c>
      <c r="H1818" s="2">
        <v>1</v>
      </c>
    </row>
    <row r="1819" spans="1:8" x14ac:dyDescent="0.25">
      <c r="A1819" s="1" t="str">
        <f>"76095"</f>
        <v>76095</v>
      </c>
      <c r="B1819" s="1" t="str">
        <f>"23104"</f>
        <v>23104</v>
      </c>
      <c r="C1819" s="1" t="str">
        <f>"BEDFORD"</f>
        <v>BEDFORD</v>
      </c>
      <c r="D1819" s="1" t="str">
        <f>"TX"</f>
        <v>TX</v>
      </c>
      <c r="E1819" s="2">
        <v>1</v>
      </c>
      <c r="F1819" s="2">
        <v>1</v>
      </c>
      <c r="G1819" s="2">
        <v>1</v>
      </c>
      <c r="H1819" s="2">
        <v>1</v>
      </c>
    </row>
    <row r="1820" spans="1:8" x14ac:dyDescent="0.25">
      <c r="A1820" s="1" t="str">
        <f>"98170"</f>
        <v>98170</v>
      </c>
      <c r="B1820" s="1" t="str">
        <f>"42644"</f>
        <v>42644</v>
      </c>
      <c r="C1820" s="1" t="str">
        <f>"SEATTLE"</f>
        <v>SEATTLE</v>
      </c>
      <c r="D1820" s="1" t="str">
        <f>"WA"</f>
        <v>WA</v>
      </c>
      <c r="E1820" s="2">
        <v>0</v>
      </c>
      <c r="F1820" s="2">
        <v>0</v>
      </c>
      <c r="G1820" s="2">
        <v>1</v>
      </c>
      <c r="H1820" s="2">
        <v>1</v>
      </c>
    </row>
    <row r="1821" spans="1:8" x14ac:dyDescent="0.25">
      <c r="A1821" s="1" t="str">
        <f>"98490"</f>
        <v>98490</v>
      </c>
      <c r="B1821" s="1" t="str">
        <f>"45104"</f>
        <v>45104</v>
      </c>
      <c r="C1821" s="1" t="str">
        <f>"TACOMA"</f>
        <v>TACOMA</v>
      </c>
      <c r="D1821" s="1" t="str">
        <f>"WA"</f>
        <v>WA</v>
      </c>
      <c r="E1821" s="2">
        <v>1</v>
      </c>
      <c r="F1821" s="2">
        <v>1</v>
      </c>
      <c r="G1821" s="2">
        <v>1</v>
      </c>
      <c r="H1821" s="2">
        <v>1</v>
      </c>
    </row>
    <row r="1822" spans="1:8" x14ac:dyDescent="0.25">
      <c r="A1822" s="1" t="str">
        <f>"92609"</f>
        <v>92609</v>
      </c>
      <c r="B1822" s="1" t="str">
        <f>"11244"</f>
        <v>11244</v>
      </c>
      <c r="C1822" s="1" t="str">
        <f>"EL TORO"</f>
        <v>EL TORO</v>
      </c>
      <c r="D1822" s="1" t="str">
        <f>"CA"</f>
        <v>CA</v>
      </c>
      <c r="E1822" s="2">
        <v>1</v>
      </c>
      <c r="F1822" s="2">
        <v>1</v>
      </c>
      <c r="G1822" s="2">
        <v>1</v>
      </c>
      <c r="H1822" s="2">
        <v>1</v>
      </c>
    </row>
    <row r="1823" spans="1:8" x14ac:dyDescent="0.25">
      <c r="A1823" s="1" t="str">
        <f>"76192"</f>
        <v>76192</v>
      </c>
      <c r="B1823" s="1" t="str">
        <f>"23104"</f>
        <v>23104</v>
      </c>
      <c r="C1823" s="1" t="str">
        <f>"FORT WORTH"</f>
        <v>FORT WORTH</v>
      </c>
      <c r="D1823" s="1" t="str">
        <f>"TX"</f>
        <v>TX</v>
      </c>
      <c r="E1823" s="2">
        <v>0</v>
      </c>
      <c r="F1823" s="2">
        <v>1</v>
      </c>
      <c r="G1823" s="2">
        <v>0</v>
      </c>
      <c r="H1823" s="2">
        <v>1</v>
      </c>
    </row>
    <row r="1824" spans="1:8" x14ac:dyDescent="0.25">
      <c r="A1824" s="1" t="str">
        <f>"92837"</f>
        <v>92837</v>
      </c>
      <c r="B1824" s="1" t="str">
        <f>"11244"</f>
        <v>11244</v>
      </c>
      <c r="C1824" s="1" t="str">
        <f>"FULLERTON"</f>
        <v>FULLERTON</v>
      </c>
      <c r="D1824" s="1" t="str">
        <f>"CA"</f>
        <v>CA</v>
      </c>
      <c r="E1824" s="2">
        <v>1</v>
      </c>
      <c r="F1824" s="2">
        <v>1</v>
      </c>
      <c r="G1824" s="2">
        <v>1</v>
      </c>
      <c r="H1824" s="2">
        <v>1</v>
      </c>
    </row>
    <row r="1825" spans="1:8" x14ac:dyDescent="0.25">
      <c r="A1825" s="1" t="str">
        <f>"10518"</f>
        <v>10518</v>
      </c>
      <c r="B1825" s="1" t="str">
        <f>"35614"</f>
        <v>35614</v>
      </c>
      <c r="C1825" s="1" t="str">
        <f>"CROSS RIVER"</f>
        <v>CROSS RIVER</v>
      </c>
      <c r="D1825" s="1" t="str">
        <f>"NY"</f>
        <v>NY</v>
      </c>
      <c r="E1825" s="2">
        <v>1</v>
      </c>
      <c r="F1825" s="2">
        <v>1</v>
      </c>
      <c r="G1825" s="2">
        <v>1</v>
      </c>
      <c r="H1825" s="2">
        <v>1</v>
      </c>
    </row>
    <row r="1826" spans="1:8" x14ac:dyDescent="0.25">
      <c r="A1826" s="1" t="str">
        <f>"19456"</f>
        <v>19456</v>
      </c>
      <c r="B1826" s="1" t="str">
        <f>"33874"</f>
        <v>33874</v>
      </c>
      <c r="C1826" s="1" t="str">
        <f>"OAKS"</f>
        <v>OAKS</v>
      </c>
      <c r="D1826" s="1" t="str">
        <f>"PA"</f>
        <v>PA</v>
      </c>
      <c r="E1826" s="2">
        <v>1</v>
      </c>
      <c r="F1826" s="2">
        <v>1</v>
      </c>
      <c r="G1826" s="2">
        <v>1</v>
      </c>
      <c r="H1826" s="2">
        <v>1</v>
      </c>
    </row>
    <row r="1827" spans="1:8" x14ac:dyDescent="0.25">
      <c r="A1827" s="1" t="str">
        <f>"33192"</f>
        <v>33192</v>
      </c>
      <c r="B1827" s="1" t="str">
        <f>"33124"</f>
        <v>33124</v>
      </c>
      <c r="C1827" s="1" t="str">
        <f>"MIAMI"</f>
        <v>MIAMI</v>
      </c>
      <c r="D1827" s="1" t="str">
        <f>"FL"</f>
        <v>FL</v>
      </c>
      <c r="E1827" s="2">
        <v>0</v>
      </c>
      <c r="F1827" s="2">
        <v>1</v>
      </c>
      <c r="G1827" s="2">
        <v>1</v>
      </c>
      <c r="H1827" s="2">
        <v>1</v>
      </c>
    </row>
    <row r="1828" spans="1:8" x14ac:dyDescent="0.25">
      <c r="A1828" s="1" t="str">
        <f>"76641"</f>
        <v>76641</v>
      </c>
      <c r="B1828" s="1" t="str">
        <f>"19124"</f>
        <v>19124</v>
      </c>
      <c r="C1828" s="1" t="str">
        <f>"FROST"</f>
        <v>FROST</v>
      </c>
      <c r="D1828" s="1" t="str">
        <f>"TX"</f>
        <v>TX</v>
      </c>
      <c r="E1828" s="2">
        <v>1</v>
      </c>
      <c r="F1828" s="2">
        <v>0</v>
      </c>
      <c r="G1828" s="2">
        <v>0</v>
      </c>
      <c r="H1828" s="2">
        <v>1</v>
      </c>
    </row>
    <row r="1829" spans="1:8" x14ac:dyDescent="0.25">
      <c r="A1829" s="1" t="str">
        <f>"08821"</f>
        <v>08821</v>
      </c>
      <c r="B1829" s="1" t="str">
        <f>"35154"</f>
        <v>35154</v>
      </c>
      <c r="C1829" s="1" t="str">
        <f>"FLAGTOWN"</f>
        <v>FLAGTOWN</v>
      </c>
      <c r="D1829" s="1" t="str">
        <f>"NJ"</f>
        <v>NJ</v>
      </c>
      <c r="E1829" s="2">
        <v>0</v>
      </c>
      <c r="F1829" s="2">
        <v>1</v>
      </c>
      <c r="G1829" s="2">
        <v>1</v>
      </c>
      <c r="H1829" s="2">
        <v>1</v>
      </c>
    </row>
    <row r="1830" spans="1:8" x14ac:dyDescent="0.25">
      <c r="A1830" s="1" t="str">
        <f>"20507"</f>
        <v>20507</v>
      </c>
      <c r="B1830" s="1" t="str">
        <f>"47894"</f>
        <v>47894</v>
      </c>
      <c r="C1830" s="1" t="str">
        <f>"WASHINGTON"</f>
        <v>WASHINGTON</v>
      </c>
      <c r="D1830" s="1" t="str">
        <f>"DC"</f>
        <v>DC</v>
      </c>
      <c r="E1830" s="2">
        <v>0</v>
      </c>
      <c r="F1830" s="2">
        <v>1</v>
      </c>
      <c r="G1830" s="2">
        <v>0</v>
      </c>
      <c r="H1830" s="2">
        <v>1</v>
      </c>
    </row>
    <row r="1831" spans="1:8" x14ac:dyDescent="0.25">
      <c r="A1831" s="1" t="str">
        <f>"60961"</f>
        <v>60961</v>
      </c>
      <c r="B1831" s="1" t="str">
        <f>"16984"</f>
        <v>16984</v>
      </c>
      <c r="C1831" s="1" t="str">
        <f>"REDDICK"</f>
        <v>REDDICK</v>
      </c>
      <c r="D1831" s="1" t="str">
        <f>"IL"</f>
        <v>IL</v>
      </c>
      <c r="E1831" s="2">
        <v>1</v>
      </c>
      <c r="F1831" s="2">
        <v>0</v>
      </c>
      <c r="G1831" s="2">
        <v>0</v>
      </c>
      <c r="H1831" s="2">
        <v>1</v>
      </c>
    </row>
    <row r="1832" spans="1:8" x14ac:dyDescent="0.25">
      <c r="A1832" s="1" t="str">
        <f>"92698"</f>
        <v>92698</v>
      </c>
      <c r="B1832" s="1" t="str">
        <f>"11244"</f>
        <v>11244</v>
      </c>
      <c r="C1832" s="1" t="str">
        <f>"ALISO VIEJO"</f>
        <v>ALISO VIEJO</v>
      </c>
      <c r="D1832" s="1" t="str">
        <f>"CA"</f>
        <v>CA</v>
      </c>
      <c r="E1832" s="2">
        <v>0</v>
      </c>
      <c r="F1832" s="2">
        <v>1</v>
      </c>
      <c r="G1832" s="2">
        <v>0</v>
      </c>
      <c r="H1832" s="2">
        <v>1</v>
      </c>
    </row>
    <row r="1833" spans="1:8" x14ac:dyDescent="0.25">
      <c r="A1833" s="1" t="str">
        <f>"98181"</f>
        <v>98181</v>
      </c>
      <c r="B1833" s="1" t="str">
        <f>"42644"</f>
        <v>42644</v>
      </c>
      <c r="C1833" s="1" t="str">
        <f>"SEATTLE"</f>
        <v>SEATTLE</v>
      </c>
      <c r="D1833" s="1" t="str">
        <f>"WA"</f>
        <v>WA</v>
      </c>
      <c r="E1833" s="2">
        <v>0</v>
      </c>
      <c r="F1833" s="2">
        <v>1</v>
      </c>
      <c r="G1833" s="2">
        <v>0</v>
      </c>
      <c r="H1833" s="2">
        <v>1</v>
      </c>
    </row>
    <row r="1834" spans="1:8" x14ac:dyDescent="0.25">
      <c r="A1834" s="1" t="str">
        <f>"11964"</f>
        <v>11964</v>
      </c>
      <c r="B1834" s="1" t="str">
        <f>"35004"</f>
        <v>35004</v>
      </c>
      <c r="C1834" s="1" t="str">
        <f>"SHELTER ISLAND"</f>
        <v>SHELTER ISLAND</v>
      </c>
      <c r="D1834" s="1" t="str">
        <f>"NY"</f>
        <v>NY</v>
      </c>
      <c r="E1834" s="2">
        <v>1</v>
      </c>
      <c r="F1834" s="2">
        <v>0</v>
      </c>
      <c r="G1834" s="2">
        <v>1</v>
      </c>
      <c r="H1834" s="2">
        <v>1</v>
      </c>
    </row>
    <row r="1835" spans="1:8" x14ac:dyDescent="0.25">
      <c r="A1835" s="1" t="str">
        <f>"20414"</f>
        <v>20414</v>
      </c>
      <c r="B1835" s="1" t="str">
        <f>"47894"</f>
        <v>47894</v>
      </c>
      <c r="C1835" s="1" t="str">
        <f>"WASHINGTON"</f>
        <v>WASHINGTON</v>
      </c>
      <c r="D1835" s="1" t="str">
        <f>"DC"</f>
        <v>DC</v>
      </c>
      <c r="E1835" s="2">
        <v>0</v>
      </c>
      <c r="F1835" s="2">
        <v>1</v>
      </c>
      <c r="G1835" s="2">
        <v>0</v>
      </c>
      <c r="H1835" s="2">
        <v>1</v>
      </c>
    </row>
    <row r="1836" spans="1:8" x14ac:dyDescent="0.25">
      <c r="A1836" s="1" t="str">
        <f>"20073"</f>
        <v>20073</v>
      </c>
      <c r="B1836" s="1" t="str">
        <f>"47894"</f>
        <v>47894</v>
      </c>
      <c r="C1836" s="1" t="str">
        <f>"WASHINGTON"</f>
        <v>WASHINGTON</v>
      </c>
      <c r="D1836" s="1" t="str">
        <f>"DC"</f>
        <v>DC</v>
      </c>
      <c r="E1836" s="2">
        <v>0</v>
      </c>
      <c r="F1836" s="2">
        <v>1</v>
      </c>
      <c r="G1836" s="2">
        <v>0</v>
      </c>
      <c r="H1836" s="2">
        <v>1</v>
      </c>
    </row>
    <row r="1837" spans="1:8" x14ac:dyDescent="0.25">
      <c r="A1837" s="1" t="str">
        <f>"02048"</f>
        <v>02048</v>
      </c>
      <c r="B1837" s="1" t="str">
        <f>"14454"</f>
        <v>14454</v>
      </c>
      <c r="C1837" s="1" t="str">
        <f>"MANSFIELD"</f>
        <v>MANSFIELD</v>
      </c>
      <c r="D1837" s="1" t="str">
        <f>"MA"</f>
        <v>MA</v>
      </c>
      <c r="E1837" s="2">
        <v>1</v>
      </c>
      <c r="F1837" s="2">
        <v>1</v>
      </c>
      <c r="G1837" s="2">
        <v>0</v>
      </c>
      <c r="H1837" s="2">
        <v>1</v>
      </c>
    </row>
    <row r="1838" spans="1:8" x14ac:dyDescent="0.25">
      <c r="A1838" s="1" t="str">
        <f>"92301"</f>
        <v>92301</v>
      </c>
      <c r="B1838" s="1" t="str">
        <f>"31084"</f>
        <v>31084</v>
      </c>
      <c r="C1838" s="1" t="str">
        <f>"ADELANTO"</f>
        <v>ADELANTO</v>
      </c>
      <c r="D1838" s="1" t="str">
        <f>"CA"</f>
        <v>CA</v>
      </c>
      <c r="E1838" s="2">
        <v>1</v>
      </c>
      <c r="F1838" s="2">
        <v>0</v>
      </c>
      <c r="G1838" s="2">
        <v>0</v>
      </c>
      <c r="H1838" s="2">
        <v>1</v>
      </c>
    </row>
    <row r="1839" spans="1:8" x14ac:dyDescent="0.25">
      <c r="A1839" s="1" t="str">
        <f>"33106"</f>
        <v>33106</v>
      </c>
      <c r="B1839" s="1" t="str">
        <f>"33124"</f>
        <v>33124</v>
      </c>
      <c r="C1839" s="1" t="str">
        <f>"MIAMI"</f>
        <v>MIAMI</v>
      </c>
      <c r="D1839" s="1" t="str">
        <f>"FL"</f>
        <v>FL</v>
      </c>
      <c r="E1839" s="2">
        <v>0</v>
      </c>
      <c r="F1839" s="2">
        <v>1</v>
      </c>
      <c r="G1839" s="2">
        <v>1</v>
      </c>
      <c r="H1839" s="2">
        <v>1</v>
      </c>
    </row>
    <row r="1840" spans="1:8" x14ac:dyDescent="0.25">
      <c r="A1840" s="1" t="str">
        <f>"20810"</f>
        <v>20810</v>
      </c>
      <c r="B1840" s="1" t="str">
        <f>"23224"</f>
        <v>23224</v>
      </c>
      <c r="C1840" s="1" t="str">
        <f>"BETHESDA"</f>
        <v>BETHESDA</v>
      </c>
      <c r="D1840" s="1" t="str">
        <f>"MD"</f>
        <v>MD</v>
      </c>
      <c r="E1840" s="2">
        <v>0</v>
      </c>
      <c r="F1840" s="2">
        <v>1</v>
      </c>
      <c r="G1840" s="2">
        <v>0</v>
      </c>
      <c r="H1840" s="2">
        <v>1</v>
      </c>
    </row>
    <row r="1841" spans="1:8" x14ac:dyDescent="0.25">
      <c r="A1841" s="1" t="str">
        <f>"90747"</f>
        <v>90747</v>
      </c>
      <c r="B1841" s="1" t="str">
        <f>"31084"</f>
        <v>31084</v>
      </c>
      <c r="C1841" s="1" t="str">
        <f>"CARSON"</f>
        <v>CARSON</v>
      </c>
      <c r="D1841" s="1" t="str">
        <f>"CA"</f>
        <v>CA</v>
      </c>
      <c r="E1841" s="2">
        <v>0</v>
      </c>
      <c r="F1841" s="2">
        <v>1</v>
      </c>
      <c r="G1841" s="2">
        <v>0</v>
      </c>
      <c r="H1841" s="2">
        <v>1</v>
      </c>
    </row>
    <row r="1842" spans="1:8" x14ac:dyDescent="0.25">
      <c r="A1842" s="1" t="str">
        <f>"91329"</f>
        <v>91329</v>
      </c>
      <c r="B1842" s="1" t="str">
        <f>"31084"</f>
        <v>31084</v>
      </c>
      <c r="C1842" s="1" t="str">
        <f>"NORTHRIDGE"</f>
        <v>NORTHRIDGE</v>
      </c>
      <c r="D1842" s="1" t="str">
        <f>"CA"</f>
        <v>CA</v>
      </c>
      <c r="E1842" s="2">
        <v>0</v>
      </c>
      <c r="F1842" s="2">
        <v>1</v>
      </c>
      <c r="G1842" s="2">
        <v>1</v>
      </c>
      <c r="H1842" s="2">
        <v>1</v>
      </c>
    </row>
    <row r="1843" spans="1:8" x14ac:dyDescent="0.25">
      <c r="A1843" s="1" t="str">
        <f>"19181"</f>
        <v>19181</v>
      </c>
      <c r="B1843" s="1" t="str">
        <f>"37964"</f>
        <v>37964</v>
      </c>
      <c r="C1843" s="1" t="str">
        <f>"PHILADELPHIA"</f>
        <v>PHILADELPHIA</v>
      </c>
      <c r="D1843" s="1" t="str">
        <f>"PA"</f>
        <v>PA</v>
      </c>
      <c r="E1843" s="2">
        <v>0</v>
      </c>
      <c r="F1843" s="2">
        <v>1</v>
      </c>
      <c r="G1843" s="2">
        <v>0</v>
      </c>
      <c r="H1843" s="2">
        <v>1</v>
      </c>
    </row>
    <row r="1844" spans="1:8" x14ac:dyDescent="0.25">
      <c r="A1844" s="1" t="str">
        <f>"22243"</f>
        <v>22243</v>
      </c>
      <c r="B1844" s="1" t="str">
        <f>"47894"</f>
        <v>47894</v>
      </c>
      <c r="C1844" s="1" t="str">
        <f>"ARLINGTON"</f>
        <v>ARLINGTON</v>
      </c>
      <c r="D1844" s="1" t="str">
        <f>"VA"</f>
        <v>VA</v>
      </c>
      <c r="E1844" s="2">
        <v>0</v>
      </c>
      <c r="F1844" s="2">
        <v>1</v>
      </c>
      <c r="G1844" s="2">
        <v>0</v>
      </c>
      <c r="H1844" s="2">
        <v>1</v>
      </c>
    </row>
    <row r="1845" spans="1:8" x14ac:dyDescent="0.25">
      <c r="A1845" s="1" t="str">
        <f>"20404"</f>
        <v>20404</v>
      </c>
      <c r="B1845" s="1" t="str">
        <f>"47894"</f>
        <v>47894</v>
      </c>
      <c r="C1845" s="1" t="str">
        <f>"WASHINGTON"</f>
        <v>WASHINGTON</v>
      </c>
      <c r="D1845" s="1" t="str">
        <f>"DC"</f>
        <v>DC</v>
      </c>
      <c r="E1845" s="2">
        <v>0</v>
      </c>
      <c r="F1845" s="2">
        <v>1</v>
      </c>
      <c r="G1845" s="2">
        <v>0</v>
      </c>
      <c r="H1845" s="2">
        <v>1</v>
      </c>
    </row>
    <row r="1846" spans="1:8" x14ac:dyDescent="0.25">
      <c r="A1846" s="1" t="str">
        <f>"76193"</f>
        <v>76193</v>
      </c>
      <c r="B1846" s="1" t="str">
        <f>"23104"</f>
        <v>23104</v>
      </c>
      <c r="C1846" s="1" t="str">
        <f>"FORT WORTH"</f>
        <v>FORT WORTH</v>
      </c>
      <c r="D1846" s="1" t="str">
        <f>"TX"</f>
        <v>TX</v>
      </c>
      <c r="E1846" s="2">
        <v>0</v>
      </c>
      <c r="F1846" s="2">
        <v>1</v>
      </c>
      <c r="G1846" s="2">
        <v>0</v>
      </c>
      <c r="H1846" s="2">
        <v>1</v>
      </c>
    </row>
    <row r="1847" spans="1:8" x14ac:dyDescent="0.25">
      <c r="A1847" s="1" t="str">
        <f>"01719"</f>
        <v>01719</v>
      </c>
      <c r="B1847" s="1" t="str">
        <f>"15764"</f>
        <v>15764</v>
      </c>
      <c r="C1847" s="1" t="str">
        <f>"BOXBOROUGH"</f>
        <v>BOXBOROUGH</v>
      </c>
      <c r="D1847" s="1" t="str">
        <f t="shared" ref="D1847:D1858" si="125">"MA"</f>
        <v>MA</v>
      </c>
      <c r="E1847" s="2">
        <v>1</v>
      </c>
      <c r="F1847" s="2">
        <v>1</v>
      </c>
      <c r="G1847" s="2">
        <v>1</v>
      </c>
      <c r="H1847" s="2">
        <v>1</v>
      </c>
    </row>
    <row r="1848" spans="1:8" x14ac:dyDescent="0.25">
      <c r="A1848" s="1" t="str">
        <f>"01929"</f>
        <v>01929</v>
      </c>
      <c r="B1848" s="1" t="str">
        <f>"15764"</f>
        <v>15764</v>
      </c>
      <c r="C1848" s="1" t="str">
        <f>"ESSEX"</f>
        <v>ESSEX</v>
      </c>
      <c r="D1848" s="1" t="str">
        <f t="shared" si="125"/>
        <v>MA</v>
      </c>
      <c r="E1848" s="2">
        <v>1</v>
      </c>
      <c r="F1848" s="2">
        <v>1</v>
      </c>
      <c r="G1848" s="2">
        <v>1</v>
      </c>
      <c r="H1848" s="2">
        <v>1</v>
      </c>
    </row>
    <row r="1849" spans="1:8" x14ac:dyDescent="0.25">
      <c r="A1849" s="1" t="str">
        <f>"02124"</f>
        <v>02124</v>
      </c>
      <c r="B1849" s="1" t="str">
        <f t="shared" ref="B1849:B1855" si="126">"14454"</f>
        <v>14454</v>
      </c>
      <c r="C1849" s="1" t="str">
        <f>"DORCHESTER CENTER"</f>
        <v>DORCHESTER CENTER</v>
      </c>
      <c r="D1849" s="1" t="str">
        <f t="shared" si="125"/>
        <v>MA</v>
      </c>
      <c r="E1849" s="2">
        <v>1</v>
      </c>
      <c r="F1849" s="2">
        <v>1</v>
      </c>
      <c r="G1849" s="2">
        <v>1</v>
      </c>
      <c r="H1849" s="2">
        <v>1</v>
      </c>
    </row>
    <row r="1850" spans="1:8" x14ac:dyDescent="0.25">
      <c r="A1850" s="1" t="str">
        <f>"02132"</f>
        <v>02132</v>
      </c>
      <c r="B1850" s="1" t="str">
        <f t="shared" si="126"/>
        <v>14454</v>
      </c>
      <c r="C1850" s="1" t="str">
        <f>"WEST ROXBURY"</f>
        <v>WEST ROXBURY</v>
      </c>
      <c r="D1850" s="1" t="str">
        <f t="shared" si="125"/>
        <v>MA</v>
      </c>
      <c r="E1850" s="2">
        <v>1</v>
      </c>
      <c r="F1850" s="2">
        <v>1</v>
      </c>
      <c r="G1850" s="2">
        <v>1</v>
      </c>
      <c r="H1850" s="2">
        <v>1</v>
      </c>
    </row>
    <row r="1851" spans="1:8" x14ac:dyDescent="0.25">
      <c r="A1851" s="1" t="str">
        <f>"02169"</f>
        <v>02169</v>
      </c>
      <c r="B1851" s="1" t="str">
        <f t="shared" si="126"/>
        <v>14454</v>
      </c>
      <c r="C1851" s="1" t="str">
        <f>"QUINCY"</f>
        <v>QUINCY</v>
      </c>
      <c r="D1851" s="1" t="str">
        <f t="shared" si="125"/>
        <v>MA</v>
      </c>
      <c r="E1851" s="2">
        <v>1</v>
      </c>
      <c r="F1851" s="2">
        <v>1</v>
      </c>
      <c r="G1851" s="2">
        <v>1</v>
      </c>
      <c r="H1851" s="2">
        <v>1</v>
      </c>
    </row>
    <row r="1852" spans="1:8" x14ac:dyDescent="0.25">
      <c r="A1852" s="1" t="str">
        <f>"02170"</f>
        <v>02170</v>
      </c>
      <c r="B1852" s="1" t="str">
        <f t="shared" si="126"/>
        <v>14454</v>
      </c>
      <c r="C1852" s="1" t="str">
        <f>"QUINCY"</f>
        <v>QUINCY</v>
      </c>
      <c r="D1852" s="1" t="str">
        <f t="shared" si="125"/>
        <v>MA</v>
      </c>
      <c r="E1852" s="2">
        <v>1</v>
      </c>
      <c r="F1852" s="2">
        <v>1</v>
      </c>
      <c r="G1852" s="2">
        <v>1</v>
      </c>
      <c r="H1852" s="2">
        <v>1</v>
      </c>
    </row>
    <row r="1853" spans="1:8" x14ac:dyDescent="0.25">
      <c r="A1853" s="1" t="str">
        <f>"02351"</f>
        <v>02351</v>
      </c>
      <c r="B1853" s="1" t="str">
        <f t="shared" si="126"/>
        <v>14454</v>
      </c>
      <c r="C1853" s="1" t="str">
        <f>"ABINGTON"</f>
        <v>ABINGTON</v>
      </c>
      <c r="D1853" s="1" t="str">
        <f t="shared" si="125"/>
        <v>MA</v>
      </c>
      <c r="E1853" s="2">
        <v>1</v>
      </c>
      <c r="F1853" s="2">
        <v>1</v>
      </c>
      <c r="G1853" s="2">
        <v>1</v>
      </c>
      <c r="H1853" s="2">
        <v>1</v>
      </c>
    </row>
    <row r="1854" spans="1:8" x14ac:dyDescent="0.25">
      <c r="A1854" s="1" t="str">
        <f>"02301"</f>
        <v>02301</v>
      </c>
      <c r="B1854" s="1" t="str">
        <f t="shared" si="126"/>
        <v>14454</v>
      </c>
      <c r="C1854" s="1" t="str">
        <f>"BROCKTON"</f>
        <v>BROCKTON</v>
      </c>
      <c r="D1854" s="1" t="str">
        <f t="shared" si="125"/>
        <v>MA</v>
      </c>
      <c r="E1854" s="2">
        <v>1</v>
      </c>
      <c r="F1854" s="2">
        <v>1</v>
      </c>
      <c r="G1854" s="2">
        <v>1</v>
      </c>
      <c r="H1854" s="2">
        <v>1</v>
      </c>
    </row>
    <row r="1855" spans="1:8" x14ac:dyDescent="0.25">
      <c r="A1855" s="1" t="str">
        <f>"02458"</f>
        <v>02458</v>
      </c>
      <c r="B1855" s="1" t="str">
        <f t="shared" si="126"/>
        <v>14454</v>
      </c>
      <c r="C1855" s="1" t="str">
        <f>"NEWTON"</f>
        <v>NEWTON</v>
      </c>
      <c r="D1855" s="1" t="str">
        <f t="shared" si="125"/>
        <v>MA</v>
      </c>
      <c r="E1855" s="2">
        <v>5.6211354693648102E-3</v>
      </c>
      <c r="F1855" s="2">
        <v>7.5528700906344398E-3</v>
      </c>
      <c r="G1855" s="2">
        <v>2.2779043280182201E-3</v>
      </c>
      <c r="H1855" s="2">
        <v>5.5917986952469696E-3</v>
      </c>
    </row>
    <row r="1856" spans="1:8" x14ac:dyDescent="0.25">
      <c r="A1856" s="1" t="str">
        <f>"02458"</f>
        <v>02458</v>
      </c>
      <c r="B1856" s="1" t="str">
        <f>"15764"</f>
        <v>15764</v>
      </c>
      <c r="C1856" s="1" t="str">
        <f>"NEWTON"</f>
        <v>NEWTON</v>
      </c>
      <c r="D1856" s="1" t="str">
        <f t="shared" si="125"/>
        <v>MA</v>
      </c>
      <c r="E1856" s="2">
        <v>0.99437886453063495</v>
      </c>
      <c r="F1856" s="2">
        <v>0.99244712990936501</v>
      </c>
      <c r="G1856" s="2">
        <v>0.997722095671981</v>
      </c>
      <c r="H1856" s="2">
        <v>0.99440820130475305</v>
      </c>
    </row>
    <row r="1857" spans="1:8" x14ac:dyDescent="0.25">
      <c r="A1857" s="1" t="str">
        <f>"02465"</f>
        <v>02465</v>
      </c>
      <c r="B1857" s="1" t="str">
        <f>"15764"</f>
        <v>15764</v>
      </c>
      <c r="C1857" s="1" t="str">
        <f>"WEST NEWTON"</f>
        <v>WEST NEWTON</v>
      </c>
      <c r="D1857" s="1" t="str">
        <f t="shared" si="125"/>
        <v>MA</v>
      </c>
      <c r="E1857" s="2">
        <v>1</v>
      </c>
      <c r="F1857" s="2">
        <v>1</v>
      </c>
      <c r="G1857" s="2">
        <v>1</v>
      </c>
      <c r="H1857" s="2">
        <v>1</v>
      </c>
    </row>
    <row r="1858" spans="1:8" x14ac:dyDescent="0.25">
      <c r="A1858" s="1" t="str">
        <f>"02472"</f>
        <v>02472</v>
      </c>
      <c r="B1858" s="1" t="str">
        <f>"15764"</f>
        <v>15764</v>
      </c>
      <c r="C1858" s="1" t="str">
        <f>"WATERTOWN"</f>
        <v>WATERTOWN</v>
      </c>
      <c r="D1858" s="1" t="str">
        <f t="shared" si="125"/>
        <v>MA</v>
      </c>
      <c r="E1858" s="2">
        <v>1</v>
      </c>
      <c r="F1858" s="2">
        <v>1</v>
      </c>
      <c r="G1858" s="2">
        <v>1</v>
      </c>
      <c r="H1858" s="2">
        <v>1</v>
      </c>
    </row>
    <row r="1859" spans="1:8" x14ac:dyDescent="0.25">
      <c r="A1859" s="1" t="str">
        <f>"03079"</f>
        <v>03079</v>
      </c>
      <c r="B1859" s="1" t="str">
        <f>"40484"</f>
        <v>40484</v>
      </c>
      <c r="C1859" s="1" t="str">
        <f>"SALEM"</f>
        <v>SALEM</v>
      </c>
      <c r="D1859" s="1" t="str">
        <f>"NH"</f>
        <v>NH</v>
      </c>
      <c r="E1859" s="2">
        <v>1</v>
      </c>
      <c r="F1859" s="2">
        <v>1</v>
      </c>
      <c r="G1859" s="2">
        <v>1</v>
      </c>
      <c r="H1859" s="2">
        <v>1</v>
      </c>
    </row>
    <row r="1860" spans="1:8" x14ac:dyDescent="0.25">
      <c r="A1860" s="1" t="str">
        <f>"03825"</f>
        <v>03825</v>
      </c>
      <c r="B1860" s="1" t="str">
        <f>"40484"</f>
        <v>40484</v>
      </c>
      <c r="C1860" s="1" t="str">
        <f>"BARRINGTON"</f>
        <v>BARRINGTON</v>
      </c>
      <c r="D1860" s="1" t="str">
        <f>"NH"</f>
        <v>NH</v>
      </c>
      <c r="E1860" s="2">
        <v>1</v>
      </c>
      <c r="F1860" s="2">
        <v>1</v>
      </c>
      <c r="G1860" s="2">
        <v>1</v>
      </c>
      <c r="H1860" s="2">
        <v>1</v>
      </c>
    </row>
    <row r="1861" spans="1:8" x14ac:dyDescent="0.25">
      <c r="A1861" s="1" t="str">
        <f>"07001"</f>
        <v>07001</v>
      </c>
      <c r="B1861" s="1" t="str">
        <f>"35154"</f>
        <v>35154</v>
      </c>
      <c r="C1861" s="1" t="str">
        <f>"AVENEL"</f>
        <v>AVENEL</v>
      </c>
      <c r="D1861" s="1" t="str">
        <f t="shared" ref="D1861:D1871" si="127">"NJ"</f>
        <v>NJ</v>
      </c>
      <c r="E1861" s="2">
        <v>1</v>
      </c>
      <c r="F1861" s="2">
        <v>1</v>
      </c>
      <c r="G1861" s="2">
        <v>1</v>
      </c>
      <c r="H1861" s="2">
        <v>1</v>
      </c>
    </row>
    <row r="1862" spans="1:8" x14ac:dyDescent="0.25">
      <c r="A1862" s="1" t="str">
        <f>"07072"</f>
        <v>07072</v>
      </c>
      <c r="B1862" s="1" t="str">
        <f>"35614"</f>
        <v>35614</v>
      </c>
      <c r="C1862" s="1" t="str">
        <f>"CARLSTADT"</f>
        <v>CARLSTADT</v>
      </c>
      <c r="D1862" s="1" t="str">
        <f t="shared" si="127"/>
        <v>NJ</v>
      </c>
      <c r="E1862" s="2">
        <v>1</v>
      </c>
      <c r="F1862" s="2">
        <v>1</v>
      </c>
      <c r="G1862" s="2">
        <v>1</v>
      </c>
      <c r="H1862" s="2">
        <v>1</v>
      </c>
    </row>
    <row r="1863" spans="1:8" x14ac:dyDescent="0.25">
      <c r="A1863" s="1" t="str">
        <f>"07304"</f>
        <v>07304</v>
      </c>
      <c r="B1863" s="1" t="str">
        <f>"35614"</f>
        <v>35614</v>
      </c>
      <c r="C1863" s="1" t="str">
        <f>"JERSEY CITY"</f>
        <v>JERSEY CITY</v>
      </c>
      <c r="D1863" s="1" t="str">
        <f t="shared" si="127"/>
        <v>NJ</v>
      </c>
      <c r="E1863" s="2">
        <v>1</v>
      </c>
      <c r="F1863" s="2">
        <v>1</v>
      </c>
      <c r="G1863" s="2">
        <v>1</v>
      </c>
      <c r="H1863" s="2">
        <v>1</v>
      </c>
    </row>
    <row r="1864" spans="1:8" x14ac:dyDescent="0.25">
      <c r="A1864" s="1" t="str">
        <f>"07422"</f>
        <v>07422</v>
      </c>
      <c r="B1864" s="1" t="str">
        <f>"35084"</f>
        <v>35084</v>
      </c>
      <c r="C1864" s="1" t="str">
        <f>"HIGHLAND LAKES"</f>
        <v>HIGHLAND LAKES</v>
      </c>
      <c r="D1864" s="1" t="str">
        <f t="shared" si="127"/>
        <v>NJ</v>
      </c>
      <c r="E1864" s="2">
        <v>1</v>
      </c>
      <c r="F1864" s="2">
        <v>1</v>
      </c>
      <c r="G1864" s="2">
        <v>1</v>
      </c>
      <c r="H1864" s="2">
        <v>1</v>
      </c>
    </row>
    <row r="1865" spans="1:8" x14ac:dyDescent="0.25">
      <c r="A1865" s="1" t="str">
        <f>"07640"</f>
        <v>07640</v>
      </c>
      <c r="B1865" s="1" t="str">
        <f>"35614"</f>
        <v>35614</v>
      </c>
      <c r="C1865" s="1" t="str">
        <f>"HARRINGTON PARK"</f>
        <v>HARRINGTON PARK</v>
      </c>
      <c r="D1865" s="1" t="str">
        <f t="shared" si="127"/>
        <v>NJ</v>
      </c>
      <c r="E1865" s="2">
        <v>1</v>
      </c>
      <c r="F1865" s="2">
        <v>1</v>
      </c>
      <c r="G1865" s="2">
        <v>1</v>
      </c>
      <c r="H1865" s="2">
        <v>1</v>
      </c>
    </row>
    <row r="1866" spans="1:8" x14ac:dyDescent="0.25">
      <c r="A1866" s="1" t="str">
        <f>"07866"</f>
        <v>07866</v>
      </c>
      <c r="B1866" s="1" t="str">
        <f>"35084"</f>
        <v>35084</v>
      </c>
      <c r="C1866" s="1" t="str">
        <f>"ROCKAWAY"</f>
        <v>ROCKAWAY</v>
      </c>
      <c r="D1866" s="1" t="str">
        <f t="shared" si="127"/>
        <v>NJ</v>
      </c>
      <c r="E1866" s="2">
        <v>1</v>
      </c>
      <c r="F1866" s="2">
        <v>1</v>
      </c>
      <c r="G1866" s="2">
        <v>1</v>
      </c>
      <c r="H1866" s="2">
        <v>1</v>
      </c>
    </row>
    <row r="1867" spans="1:8" x14ac:dyDescent="0.25">
      <c r="A1867" s="1" t="str">
        <f>"07976"</f>
        <v>07976</v>
      </c>
      <c r="B1867" s="1" t="str">
        <f>"35084"</f>
        <v>35084</v>
      </c>
      <c r="C1867" s="1" t="str">
        <f>"NEW VERNON"</f>
        <v>NEW VERNON</v>
      </c>
      <c r="D1867" s="1" t="str">
        <f t="shared" si="127"/>
        <v>NJ</v>
      </c>
      <c r="E1867" s="2">
        <v>1</v>
      </c>
      <c r="F1867" s="2">
        <v>1</v>
      </c>
      <c r="G1867" s="2">
        <v>1</v>
      </c>
      <c r="H1867" s="2">
        <v>1</v>
      </c>
    </row>
    <row r="1868" spans="1:8" x14ac:dyDescent="0.25">
      <c r="A1868" s="1" t="str">
        <f>"08031"</f>
        <v>08031</v>
      </c>
      <c r="B1868" s="1" t="str">
        <f>"15804"</f>
        <v>15804</v>
      </c>
      <c r="C1868" s="1" t="str">
        <f>"BELLMAWR"</f>
        <v>BELLMAWR</v>
      </c>
      <c r="D1868" s="1" t="str">
        <f t="shared" si="127"/>
        <v>NJ</v>
      </c>
      <c r="E1868" s="2">
        <v>1</v>
      </c>
      <c r="F1868" s="2">
        <v>1</v>
      </c>
      <c r="G1868" s="2">
        <v>1</v>
      </c>
      <c r="H1868" s="2">
        <v>1</v>
      </c>
    </row>
    <row r="1869" spans="1:8" x14ac:dyDescent="0.25">
      <c r="A1869" s="1" t="str">
        <f>"08722"</f>
        <v>08722</v>
      </c>
      <c r="B1869" s="1" t="str">
        <f>"35154"</f>
        <v>35154</v>
      </c>
      <c r="C1869" s="1" t="str">
        <f>"BEACHWOOD"</f>
        <v>BEACHWOOD</v>
      </c>
      <c r="D1869" s="1" t="str">
        <f t="shared" si="127"/>
        <v>NJ</v>
      </c>
      <c r="E1869" s="2">
        <v>1</v>
      </c>
      <c r="F1869" s="2">
        <v>1</v>
      </c>
      <c r="G1869" s="2">
        <v>1</v>
      </c>
      <c r="H1869" s="2">
        <v>1</v>
      </c>
    </row>
    <row r="1870" spans="1:8" x14ac:dyDescent="0.25">
      <c r="A1870" s="1" t="str">
        <f>"08736"</f>
        <v>08736</v>
      </c>
      <c r="B1870" s="1" t="str">
        <f>"35154"</f>
        <v>35154</v>
      </c>
      <c r="C1870" s="1" t="str">
        <f>"MANASQUAN"</f>
        <v>MANASQUAN</v>
      </c>
      <c r="D1870" s="1" t="str">
        <f t="shared" si="127"/>
        <v>NJ</v>
      </c>
      <c r="E1870" s="2">
        <v>1</v>
      </c>
      <c r="F1870" s="2">
        <v>1</v>
      </c>
      <c r="G1870" s="2">
        <v>1</v>
      </c>
      <c r="H1870" s="2">
        <v>1</v>
      </c>
    </row>
    <row r="1871" spans="1:8" x14ac:dyDescent="0.25">
      <c r="A1871" s="1" t="str">
        <f>"08901"</f>
        <v>08901</v>
      </c>
      <c r="B1871" s="1" t="str">
        <f>"35154"</f>
        <v>35154</v>
      </c>
      <c r="C1871" s="1" t="str">
        <f>"NEW BRUNSWICK"</f>
        <v>NEW BRUNSWICK</v>
      </c>
      <c r="D1871" s="1" t="str">
        <f t="shared" si="127"/>
        <v>NJ</v>
      </c>
      <c r="E1871" s="2">
        <v>1</v>
      </c>
      <c r="F1871" s="2">
        <v>1</v>
      </c>
      <c r="G1871" s="2">
        <v>1</v>
      </c>
      <c r="H1871" s="2">
        <v>1</v>
      </c>
    </row>
    <row r="1872" spans="1:8" x14ac:dyDescent="0.25">
      <c r="A1872" s="1" t="str">
        <f>"10017"</f>
        <v>10017</v>
      </c>
      <c r="B1872" s="1" t="str">
        <f t="shared" ref="B1872:B1877" si="128">"35614"</f>
        <v>35614</v>
      </c>
      <c r="C1872" s="1" t="str">
        <f>"NEW YORK"</f>
        <v>NEW YORK</v>
      </c>
      <c r="D1872" s="1" t="str">
        <f t="shared" ref="D1872:D1883" si="129">"NY"</f>
        <v>NY</v>
      </c>
      <c r="E1872" s="2">
        <v>1</v>
      </c>
      <c r="F1872" s="2">
        <v>1</v>
      </c>
      <c r="G1872" s="2">
        <v>1</v>
      </c>
      <c r="H1872" s="2">
        <v>1</v>
      </c>
    </row>
    <row r="1873" spans="1:8" x14ac:dyDescent="0.25">
      <c r="A1873" s="1" t="str">
        <f>"10119"</f>
        <v>10119</v>
      </c>
      <c r="B1873" s="1" t="str">
        <f t="shared" si="128"/>
        <v>35614</v>
      </c>
      <c r="C1873" s="1" t="str">
        <f>"NEW YORK"</f>
        <v>NEW YORK</v>
      </c>
      <c r="D1873" s="1" t="str">
        <f t="shared" si="129"/>
        <v>NY</v>
      </c>
      <c r="E1873" s="2">
        <v>0</v>
      </c>
      <c r="F1873" s="2">
        <v>1</v>
      </c>
      <c r="G1873" s="2">
        <v>1</v>
      </c>
      <c r="H1873" s="2">
        <v>1</v>
      </c>
    </row>
    <row r="1874" spans="1:8" x14ac:dyDescent="0.25">
      <c r="A1874" s="1" t="str">
        <f>"10280"</f>
        <v>10280</v>
      </c>
      <c r="B1874" s="1" t="str">
        <f t="shared" si="128"/>
        <v>35614</v>
      </c>
      <c r="C1874" s="1" t="str">
        <f>"NEW YORK"</f>
        <v>NEW YORK</v>
      </c>
      <c r="D1874" s="1" t="str">
        <f t="shared" si="129"/>
        <v>NY</v>
      </c>
      <c r="E1874" s="2">
        <v>1</v>
      </c>
      <c r="F1874" s="2">
        <v>1</v>
      </c>
      <c r="G1874" s="2">
        <v>1</v>
      </c>
      <c r="H1874" s="2">
        <v>1</v>
      </c>
    </row>
    <row r="1875" spans="1:8" x14ac:dyDescent="0.25">
      <c r="A1875" s="1" t="str">
        <f>"10307"</f>
        <v>10307</v>
      </c>
      <c r="B1875" s="1" t="str">
        <f t="shared" si="128"/>
        <v>35614</v>
      </c>
      <c r="C1875" s="1" t="str">
        <f>"STATEN ISLAND"</f>
        <v>STATEN ISLAND</v>
      </c>
      <c r="D1875" s="1" t="str">
        <f t="shared" si="129"/>
        <v>NY</v>
      </c>
      <c r="E1875" s="2">
        <v>1</v>
      </c>
      <c r="F1875" s="2">
        <v>1</v>
      </c>
      <c r="G1875" s="2">
        <v>1</v>
      </c>
      <c r="H1875" s="2">
        <v>1</v>
      </c>
    </row>
    <row r="1876" spans="1:8" x14ac:dyDescent="0.25">
      <c r="A1876" s="1" t="str">
        <f>"10458"</f>
        <v>10458</v>
      </c>
      <c r="B1876" s="1" t="str">
        <f t="shared" si="128"/>
        <v>35614</v>
      </c>
      <c r="C1876" s="1" t="str">
        <f>"BRONX"</f>
        <v>BRONX</v>
      </c>
      <c r="D1876" s="1" t="str">
        <f t="shared" si="129"/>
        <v>NY</v>
      </c>
      <c r="E1876" s="2">
        <v>1</v>
      </c>
      <c r="F1876" s="2">
        <v>1</v>
      </c>
      <c r="G1876" s="2">
        <v>1</v>
      </c>
      <c r="H1876" s="2">
        <v>1</v>
      </c>
    </row>
    <row r="1877" spans="1:8" x14ac:dyDescent="0.25">
      <c r="A1877" s="1" t="str">
        <f>"11225"</f>
        <v>11225</v>
      </c>
      <c r="B1877" s="1" t="str">
        <f t="shared" si="128"/>
        <v>35614</v>
      </c>
      <c r="C1877" s="1" t="str">
        <f>"BROOKLYN"</f>
        <v>BROOKLYN</v>
      </c>
      <c r="D1877" s="1" t="str">
        <f t="shared" si="129"/>
        <v>NY</v>
      </c>
      <c r="E1877" s="2">
        <v>1</v>
      </c>
      <c r="F1877" s="2">
        <v>1</v>
      </c>
      <c r="G1877" s="2">
        <v>1</v>
      </c>
      <c r="H1877" s="2">
        <v>1</v>
      </c>
    </row>
    <row r="1878" spans="1:8" x14ac:dyDescent="0.25">
      <c r="A1878" s="1" t="str">
        <f>"11021"</f>
        <v>11021</v>
      </c>
      <c r="B1878" s="1" t="str">
        <f>"35004"</f>
        <v>35004</v>
      </c>
      <c r="C1878" s="1" t="str">
        <f>"GREAT NECK"</f>
        <v>GREAT NECK</v>
      </c>
      <c r="D1878" s="1" t="str">
        <f t="shared" si="129"/>
        <v>NY</v>
      </c>
      <c r="E1878" s="2">
        <v>1</v>
      </c>
      <c r="F1878" s="2">
        <v>1</v>
      </c>
      <c r="G1878" s="2">
        <v>1</v>
      </c>
      <c r="H1878" s="2">
        <v>1</v>
      </c>
    </row>
    <row r="1879" spans="1:8" x14ac:dyDescent="0.25">
      <c r="A1879" s="1" t="str">
        <f>"11501"</f>
        <v>11501</v>
      </c>
      <c r="B1879" s="1" t="str">
        <f>"35004"</f>
        <v>35004</v>
      </c>
      <c r="C1879" s="1" t="str">
        <f>"MINEOLA"</f>
        <v>MINEOLA</v>
      </c>
      <c r="D1879" s="1" t="str">
        <f t="shared" si="129"/>
        <v>NY</v>
      </c>
      <c r="E1879" s="2">
        <v>1</v>
      </c>
      <c r="F1879" s="2">
        <v>1</v>
      </c>
      <c r="G1879" s="2">
        <v>1</v>
      </c>
      <c r="H1879" s="2">
        <v>1</v>
      </c>
    </row>
    <row r="1880" spans="1:8" x14ac:dyDescent="0.25">
      <c r="A1880" s="1" t="str">
        <f>"11944"</f>
        <v>11944</v>
      </c>
      <c r="B1880" s="1" t="str">
        <f>"35004"</f>
        <v>35004</v>
      </c>
      <c r="C1880" s="1" t="str">
        <f>"GREENPORT"</f>
        <v>GREENPORT</v>
      </c>
      <c r="D1880" s="1" t="str">
        <f t="shared" si="129"/>
        <v>NY</v>
      </c>
      <c r="E1880" s="2">
        <v>1</v>
      </c>
      <c r="F1880" s="2">
        <v>1</v>
      </c>
      <c r="G1880" s="2">
        <v>1</v>
      </c>
      <c r="H1880" s="2">
        <v>1</v>
      </c>
    </row>
    <row r="1881" spans="1:8" x14ac:dyDescent="0.25">
      <c r="A1881" s="1" t="str">
        <f>"11934"</f>
        <v>11934</v>
      </c>
      <c r="B1881" s="1" t="str">
        <f>"35004"</f>
        <v>35004</v>
      </c>
      <c r="C1881" s="1" t="str">
        <f>"CENTER MORICHES"</f>
        <v>CENTER MORICHES</v>
      </c>
      <c r="D1881" s="1" t="str">
        <f t="shared" si="129"/>
        <v>NY</v>
      </c>
      <c r="E1881" s="2">
        <v>1</v>
      </c>
      <c r="F1881" s="2">
        <v>1</v>
      </c>
      <c r="G1881" s="2">
        <v>1</v>
      </c>
      <c r="H1881" s="2">
        <v>1</v>
      </c>
    </row>
    <row r="1882" spans="1:8" x14ac:dyDescent="0.25">
      <c r="A1882" s="1" t="str">
        <f>"10505"</f>
        <v>10505</v>
      </c>
      <c r="B1882" s="1" t="str">
        <f>"35614"</f>
        <v>35614</v>
      </c>
      <c r="C1882" s="1" t="str">
        <f>"BALDWIN PLACE"</f>
        <v>BALDWIN PLACE</v>
      </c>
      <c r="D1882" s="1" t="str">
        <f t="shared" si="129"/>
        <v>NY</v>
      </c>
      <c r="E1882" s="2">
        <v>1</v>
      </c>
      <c r="F1882" s="2">
        <v>1</v>
      </c>
      <c r="G1882" s="2">
        <v>1</v>
      </c>
      <c r="H1882" s="2">
        <v>1</v>
      </c>
    </row>
    <row r="1883" spans="1:8" x14ac:dyDescent="0.25">
      <c r="A1883" s="1" t="str">
        <f>"10927"</f>
        <v>10927</v>
      </c>
      <c r="B1883" s="1" t="str">
        <f>"35614"</f>
        <v>35614</v>
      </c>
      <c r="C1883" s="1" t="str">
        <f>"HAVERSTRAW"</f>
        <v>HAVERSTRAW</v>
      </c>
      <c r="D1883" s="1" t="str">
        <f t="shared" si="129"/>
        <v>NY</v>
      </c>
      <c r="E1883" s="2">
        <v>1</v>
      </c>
      <c r="F1883" s="2">
        <v>1</v>
      </c>
      <c r="G1883" s="2">
        <v>1</v>
      </c>
      <c r="H1883" s="2">
        <v>1</v>
      </c>
    </row>
    <row r="1884" spans="1:8" x14ac:dyDescent="0.25">
      <c r="A1884" s="1" t="str">
        <f>"18426"</f>
        <v>18426</v>
      </c>
      <c r="B1884" s="1" t="str">
        <f>"35084"</f>
        <v>35084</v>
      </c>
      <c r="C1884" s="1" t="str">
        <f>"GREENTOWN"</f>
        <v>GREENTOWN</v>
      </c>
      <c r="D1884" s="1" t="str">
        <f t="shared" ref="D1884:D1892" si="130">"PA"</f>
        <v>PA</v>
      </c>
      <c r="E1884" s="2">
        <v>1</v>
      </c>
      <c r="F1884" s="2">
        <v>1</v>
      </c>
      <c r="G1884" s="2">
        <v>1</v>
      </c>
      <c r="H1884" s="2">
        <v>1</v>
      </c>
    </row>
    <row r="1885" spans="1:8" x14ac:dyDescent="0.25">
      <c r="A1885" s="1" t="str">
        <f>"18944"</f>
        <v>18944</v>
      </c>
      <c r="B1885" s="1" t="str">
        <f>"33874"</f>
        <v>33874</v>
      </c>
      <c r="C1885" s="1" t="str">
        <f>"PERKASIE"</f>
        <v>PERKASIE</v>
      </c>
      <c r="D1885" s="1" t="str">
        <f t="shared" si="130"/>
        <v>PA</v>
      </c>
      <c r="E1885" s="2">
        <v>1</v>
      </c>
      <c r="F1885" s="2">
        <v>1</v>
      </c>
      <c r="G1885" s="2">
        <v>1</v>
      </c>
      <c r="H1885" s="2">
        <v>1</v>
      </c>
    </row>
    <row r="1886" spans="1:8" x14ac:dyDescent="0.25">
      <c r="A1886" s="1" t="str">
        <f>"19067"</f>
        <v>19067</v>
      </c>
      <c r="B1886" s="1" t="str">
        <f>"33874"</f>
        <v>33874</v>
      </c>
      <c r="C1886" s="1" t="str">
        <f>"MORRISVILLE"</f>
        <v>MORRISVILLE</v>
      </c>
      <c r="D1886" s="1" t="str">
        <f t="shared" si="130"/>
        <v>PA</v>
      </c>
      <c r="E1886" s="2">
        <v>1</v>
      </c>
      <c r="F1886" s="2">
        <v>1</v>
      </c>
      <c r="G1886" s="2">
        <v>1</v>
      </c>
      <c r="H1886" s="2">
        <v>1</v>
      </c>
    </row>
    <row r="1887" spans="1:8" x14ac:dyDescent="0.25">
      <c r="A1887" s="1" t="str">
        <f>"19104"</f>
        <v>19104</v>
      </c>
      <c r="B1887" s="1" t="str">
        <f>"37964"</f>
        <v>37964</v>
      </c>
      <c r="C1887" s="1" t="str">
        <f>"PHILADELPHIA"</f>
        <v>PHILADELPHIA</v>
      </c>
      <c r="D1887" s="1" t="str">
        <f t="shared" si="130"/>
        <v>PA</v>
      </c>
      <c r="E1887" s="2">
        <v>1</v>
      </c>
      <c r="F1887" s="2">
        <v>1</v>
      </c>
      <c r="G1887" s="2">
        <v>1</v>
      </c>
      <c r="H1887" s="2">
        <v>1</v>
      </c>
    </row>
    <row r="1888" spans="1:8" x14ac:dyDescent="0.25">
      <c r="A1888" s="1" t="str">
        <f>"19086"</f>
        <v>19086</v>
      </c>
      <c r="B1888" s="1" t="str">
        <f>"37964"</f>
        <v>37964</v>
      </c>
      <c r="C1888" s="1" t="str">
        <f>"WALLINGFORD"</f>
        <v>WALLINGFORD</v>
      </c>
      <c r="D1888" s="1" t="str">
        <f t="shared" si="130"/>
        <v>PA</v>
      </c>
      <c r="E1888" s="2">
        <v>1</v>
      </c>
      <c r="F1888" s="2">
        <v>1</v>
      </c>
      <c r="G1888" s="2">
        <v>1</v>
      </c>
      <c r="H1888" s="2">
        <v>1</v>
      </c>
    </row>
    <row r="1889" spans="1:8" x14ac:dyDescent="0.25">
      <c r="A1889" s="1" t="str">
        <f>"19154"</f>
        <v>19154</v>
      </c>
      <c r="B1889" s="1" t="str">
        <f>"37964"</f>
        <v>37964</v>
      </c>
      <c r="C1889" s="1" t="str">
        <f>"PHILADELPHIA"</f>
        <v>PHILADELPHIA</v>
      </c>
      <c r="D1889" s="1" t="str">
        <f t="shared" si="130"/>
        <v>PA</v>
      </c>
      <c r="E1889" s="2">
        <v>1</v>
      </c>
      <c r="F1889" s="2">
        <v>1</v>
      </c>
      <c r="G1889" s="2">
        <v>1</v>
      </c>
      <c r="H1889" s="2">
        <v>1</v>
      </c>
    </row>
    <row r="1890" spans="1:8" x14ac:dyDescent="0.25">
      <c r="A1890" s="1" t="str">
        <f>"19363"</f>
        <v>19363</v>
      </c>
      <c r="B1890" s="1" t="str">
        <f>"33874"</f>
        <v>33874</v>
      </c>
      <c r="C1890" s="1" t="str">
        <f>"OXFORD"</f>
        <v>OXFORD</v>
      </c>
      <c r="D1890" s="1" t="str">
        <f t="shared" si="130"/>
        <v>PA</v>
      </c>
      <c r="E1890" s="2">
        <v>1</v>
      </c>
      <c r="F1890" s="2">
        <v>1</v>
      </c>
      <c r="G1890" s="2">
        <v>1</v>
      </c>
      <c r="H1890" s="2">
        <v>1</v>
      </c>
    </row>
    <row r="1891" spans="1:8" x14ac:dyDescent="0.25">
      <c r="A1891" s="1" t="str">
        <f>"19428"</f>
        <v>19428</v>
      </c>
      <c r="B1891" s="1" t="str">
        <f>"33874"</f>
        <v>33874</v>
      </c>
      <c r="C1891" s="1" t="str">
        <f>"CONSHOHOCKEN"</f>
        <v>CONSHOHOCKEN</v>
      </c>
      <c r="D1891" s="1" t="str">
        <f t="shared" si="130"/>
        <v>PA</v>
      </c>
      <c r="E1891" s="2">
        <v>1</v>
      </c>
      <c r="F1891" s="2">
        <v>1</v>
      </c>
      <c r="G1891" s="2">
        <v>1</v>
      </c>
      <c r="H1891" s="2">
        <v>1</v>
      </c>
    </row>
    <row r="1892" spans="1:8" x14ac:dyDescent="0.25">
      <c r="A1892" s="1" t="str">
        <f>"19454"</f>
        <v>19454</v>
      </c>
      <c r="B1892" s="1" t="str">
        <f>"33874"</f>
        <v>33874</v>
      </c>
      <c r="C1892" s="1" t="str">
        <f>"NORTH WALES"</f>
        <v>NORTH WALES</v>
      </c>
      <c r="D1892" s="1" t="str">
        <f t="shared" si="130"/>
        <v>PA</v>
      </c>
      <c r="E1892" s="2">
        <v>1</v>
      </c>
      <c r="F1892" s="2">
        <v>1</v>
      </c>
      <c r="G1892" s="2">
        <v>1</v>
      </c>
      <c r="H1892" s="2">
        <v>1</v>
      </c>
    </row>
    <row r="1893" spans="1:8" x14ac:dyDescent="0.25">
      <c r="A1893" s="1" t="str">
        <f>"20006"</f>
        <v>20006</v>
      </c>
      <c r="B1893" s="1" t="str">
        <f t="shared" ref="B1893:B1898" si="131">"47894"</f>
        <v>47894</v>
      </c>
      <c r="C1893" s="1" t="str">
        <f>"WASHINGTON"</f>
        <v>WASHINGTON</v>
      </c>
      <c r="D1893" s="1" t="str">
        <f>"DC"</f>
        <v>DC</v>
      </c>
      <c r="E1893" s="2">
        <v>1</v>
      </c>
      <c r="F1893" s="2">
        <v>1</v>
      </c>
      <c r="G1893" s="2">
        <v>1</v>
      </c>
      <c r="H1893" s="2">
        <v>1</v>
      </c>
    </row>
    <row r="1894" spans="1:8" x14ac:dyDescent="0.25">
      <c r="A1894" s="1" t="str">
        <f>"20004"</f>
        <v>20004</v>
      </c>
      <c r="B1894" s="1" t="str">
        <f t="shared" si="131"/>
        <v>47894</v>
      </c>
      <c r="C1894" s="1" t="str">
        <f>"WASHINGTON"</f>
        <v>WASHINGTON</v>
      </c>
      <c r="D1894" s="1" t="str">
        <f>"DC"</f>
        <v>DC</v>
      </c>
      <c r="E1894" s="2">
        <v>1</v>
      </c>
      <c r="F1894" s="2">
        <v>1</v>
      </c>
      <c r="G1894" s="2">
        <v>1</v>
      </c>
      <c r="H1894" s="2">
        <v>1</v>
      </c>
    </row>
    <row r="1895" spans="1:8" x14ac:dyDescent="0.25">
      <c r="A1895" s="1" t="str">
        <f>"20577"</f>
        <v>20577</v>
      </c>
      <c r="B1895" s="1" t="str">
        <f t="shared" si="131"/>
        <v>47894</v>
      </c>
      <c r="C1895" s="1" t="str">
        <f>"WASHINGTON"</f>
        <v>WASHINGTON</v>
      </c>
      <c r="D1895" s="1" t="str">
        <f>"DC"</f>
        <v>DC</v>
      </c>
      <c r="E1895" s="2">
        <v>0</v>
      </c>
      <c r="F1895" s="2">
        <v>1</v>
      </c>
      <c r="G1895" s="2">
        <v>0</v>
      </c>
      <c r="H1895" s="2">
        <v>1</v>
      </c>
    </row>
    <row r="1896" spans="1:8" x14ac:dyDescent="0.25">
      <c r="A1896" s="1" t="str">
        <f>"20685"</f>
        <v>20685</v>
      </c>
      <c r="B1896" s="1" t="str">
        <f t="shared" si="131"/>
        <v>47894</v>
      </c>
      <c r="C1896" s="1" t="str">
        <f>"SAINT LEONARD"</f>
        <v>SAINT LEONARD</v>
      </c>
      <c r="D1896" s="1" t="str">
        <f t="shared" ref="D1896:D1901" si="132">"MD"</f>
        <v>MD</v>
      </c>
      <c r="E1896" s="2">
        <v>1</v>
      </c>
      <c r="F1896" s="2">
        <v>1</v>
      </c>
      <c r="G1896" s="2">
        <v>1</v>
      </c>
      <c r="H1896" s="2">
        <v>1</v>
      </c>
    </row>
    <row r="1897" spans="1:8" x14ac:dyDescent="0.25">
      <c r="A1897" s="1" t="str">
        <f>"20705"</f>
        <v>20705</v>
      </c>
      <c r="B1897" s="1" t="str">
        <f t="shared" si="131"/>
        <v>47894</v>
      </c>
      <c r="C1897" s="1" t="str">
        <f>"BELTSVILLE"</f>
        <v>BELTSVILLE</v>
      </c>
      <c r="D1897" s="1" t="str">
        <f t="shared" si="132"/>
        <v>MD</v>
      </c>
      <c r="E1897" s="2">
        <v>1</v>
      </c>
      <c r="F1897" s="2">
        <v>1</v>
      </c>
      <c r="G1897" s="2">
        <v>1</v>
      </c>
      <c r="H1897" s="2">
        <v>1</v>
      </c>
    </row>
    <row r="1898" spans="1:8" x14ac:dyDescent="0.25">
      <c r="A1898" s="1" t="str">
        <f>"20773"</f>
        <v>20773</v>
      </c>
      <c r="B1898" s="1" t="str">
        <f t="shared" si="131"/>
        <v>47894</v>
      </c>
      <c r="C1898" s="1" t="str">
        <f>"UPPER MARLBORO"</f>
        <v>UPPER MARLBORO</v>
      </c>
      <c r="D1898" s="1" t="str">
        <f t="shared" si="132"/>
        <v>MD</v>
      </c>
      <c r="E1898" s="2">
        <v>1</v>
      </c>
      <c r="F1898" s="2">
        <v>1</v>
      </c>
      <c r="G1898" s="2">
        <v>1</v>
      </c>
      <c r="H1898" s="2">
        <v>1</v>
      </c>
    </row>
    <row r="1899" spans="1:8" x14ac:dyDescent="0.25">
      <c r="A1899" s="1" t="str">
        <f>"20871"</f>
        <v>20871</v>
      </c>
      <c r="B1899" s="1" t="str">
        <f>"23224"</f>
        <v>23224</v>
      </c>
      <c r="C1899" s="1" t="str">
        <f>"CLARKSBURG"</f>
        <v>CLARKSBURG</v>
      </c>
      <c r="D1899" s="1" t="str">
        <f t="shared" si="132"/>
        <v>MD</v>
      </c>
      <c r="E1899" s="2">
        <v>1</v>
      </c>
      <c r="F1899" s="2">
        <v>1</v>
      </c>
      <c r="G1899" s="2">
        <v>1</v>
      </c>
      <c r="H1899" s="2">
        <v>1</v>
      </c>
    </row>
    <row r="1900" spans="1:8" x14ac:dyDescent="0.25">
      <c r="A1900" s="1" t="str">
        <f>"21717"</f>
        <v>21717</v>
      </c>
      <c r="B1900" s="1" t="str">
        <f>"23224"</f>
        <v>23224</v>
      </c>
      <c r="C1900" s="1" t="str">
        <f>"BUCKEYSTOWN"</f>
        <v>BUCKEYSTOWN</v>
      </c>
      <c r="D1900" s="1" t="str">
        <f t="shared" si="132"/>
        <v>MD</v>
      </c>
      <c r="E1900" s="2">
        <v>1</v>
      </c>
      <c r="F1900" s="2">
        <v>1</v>
      </c>
      <c r="G1900" s="2">
        <v>1</v>
      </c>
      <c r="H1900" s="2">
        <v>1</v>
      </c>
    </row>
    <row r="1901" spans="1:8" x14ac:dyDescent="0.25">
      <c r="A1901" s="1" t="str">
        <f>"21755"</f>
        <v>21755</v>
      </c>
      <c r="B1901" s="1" t="str">
        <f>"23224"</f>
        <v>23224</v>
      </c>
      <c r="C1901" s="1" t="str">
        <f>"JEFFERSON"</f>
        <v>JEFFERSON</v>
      </c>
      <c r="D1901" s="1" t="str">
        <f t="shared" si="132"/>
        <v>MD</v>
      </c>
      <c r="E1901" s="2">
        <v>1</v>
      </c>
      <c r="F1901" s="2">
        <v>1</v>
      </c>
      <c r="G1901" s="2">
        <v>1</v>
      </c>
      <c r="H1901" s="2">
        <v>1</v>
      </c>
    </row>
    <row r="1902" spans="1:8" x14ac:dyDescent="0.25">
      <c r="A1902" s="1" t="str">
        <f>"20106"</f>
        <v>20106</v>
      </c>
      <c r="B1902" s="1" t="str">
        <f>"47894"</f>
        <v>47894</v>
      </c>
      <c r="C1902" s="1" t="str">
        <f>"AMISSVILLE"</f>
        <v>AMISSVILLE</v>
      </c>
      <c r="D1902" s="1" t="str">
        <f>"VA"</f>
        <v>VA</v>
      </c>
      <c r="E1902" s="2">
        <v>1</v>
      </c>
      <c r="F1902" s="2">
        <v>1</v>
      </c>
      <c r="G1902" s="2">
        <v>1</v>
      </c>
      <c r="H1902" s="2">
        <v>1</v>
      </c>
    </row>
    <row r="1903" spans="1:8" x14ac:dyDescent="0.25">
      <c r="A1903" s="1" t="str">
        <f>"20117"</f>
        <v>20117</v>
      </c>
      <c r="B1903" s="1" t="str">
        <f>"47894"</f>
        <v>47894</v>
      </c>
      <c r="C1903" s="1" t="str">
        <f>"MIDDLEBURG"</f>
        <v>MIDDLEBURG</v>
      </c>
      <c r="D1903" s="1" t="str">
        <f>"VA"</f>
        <v>VA</v>
      </c>
      <c r="E1903" s="2">
        <v>1</v>
      </c>
      <c r="F1903" s="2">
        <v>1</v>
      </c>
      <c r="G1903" s="2">
        <v>1</v>
      </c>
      <c r="H1903" s="2">
        <v>1</v>
      </c>
    </row>
    <row r="1904" spans="1:8" x14ac:dyDescent="0.25">
      <c r="A1904" s="1" t="str">
        <f>"20169"</f>
        <v>20169</v>
      </c>
      <c r="B1904" s="1" t="str">
        <f>"47894"</f>
        <v>47894</v>
      </c>
      <c r="C1904" s="1" t="str">
        <f>"HAYMARKET"</f>
        <v>HAYMARKET</v>
      </c>
      <c r="D1904" s="1" t="str">
        <f>"VA"</f>
        <v>VA</v>
      </c>
      <c r="E1904" s="2">
        <v>1</v>
      </c>
      <c r="F1904" s="2">
        <v>1</v>
      </c>
      <c r="G1904" s="2">
        <v>1</v>
      </c>
      <c r="H1904" s="2">
        <v>1</v>
      </c>
    </row>
    <row r="1905" spans="1:8" x14ac:dyDescent="0.25">
      <c r="A1905" s="1" t="str">
        <f>"20176"</f>
        <v>20176</v>
      </c>
      <c r="B1905" s="1" t="str">
        <f>"47894"</f>
        <v>47894</v>
      </c>
      <c r="C1905" s="1" t="str">
        <f>"LEESBURG"</f>
        <v>LEESBURG</v>
      </c>
      <c r="D1905" s="1" t="str">
        <f>"VA"</f>
        <v>VA</v>
      </c>
      <c r="E1905" s="2">
        <v>1</v>
      </c>
      <c r="F1905" s="2">
        <v>1</v>
      </c>
      <c r="G1905" s="2">
        <v>1</v>
      </c>
      <c r="H1905" s="2">
        <v>1</v>
      </c>
    </row>
    <row r="1906" spans="1:8" x14ac:dyDescent="0.25">
      <c r="A1906" s="1" t="str">
        <f>"22302"</f>
        <v>22302</v>
      </c>
      <c r="B1906" s="1" t="str">
        <f>"47894"</f>
        <v>47894</v>
      </c>
      <c r="C1906" s="1" t="str">
        <f>"ALEXANDRIA"</f>
        <v>ALEXANDRIA</v>
      </c>
      <c r="D1906" s="1" t="str">
        <f>"VA"</f>
        <v>VA</v>
      </c>
      <c r="E1906" s="2">
        <v>1</v>
      </c>
      <c r="F1906" s="2">
        <v>1</v>
      </c>
      <c r="G1906" s="2">
        <v>1</v>
      </c>
      <c r="H1906" s="2">
        <v>1</v>
      </c>
    </row>
    <row r="1907" spans="1:8" x14ac:dyDescent="0.25">
      <c r="A1907" s="1" t="str">
        <f>"33020"</f>
        <v>33020</v>
      </c>
      <c r="B1907" s="1" t="str">
        <f>"22744"</f>
        <v>22744</v>
      </c>
      <c r="C1907" s="1" t="str">
        <f>"HOLLYWOOD"</f>
        <v>HOLLYWOOD</v>
      </c>
      <c r="D1907" s="1" t="str">
        <f>"FL"</f>
        <v>FL</v>
      </c>
      <c r="E1907" s="2">
        <v>1</v>
      </c>
      <c r="F1907" s="2">
        <v>1</v>
      </c>
      <c r="G1907" s="2">
        <v>1</v>
      </c>
      <c r="H1907" s="2">
        <v>1</v>
      </c>
    </row>
    <row r="1908" spans="1:8" x14ac:dyDescent="0.25">
      <c r="A1908" s="1" t="str">
        <f>"33122"</f>
        <v>33122</v>
      </c>
      <c r="B1908" s="1" t="str">
        <f>"33124"</f>
        <v>33124</v>
      </c>
      <c r="C1908" s="1" t="str">
        <f>"MIAMI"</f>
        <v>MIAMI</v>
      </c>
      <c r="D1908" s="1" t="str">
        <f>"FL"</f>
        <v>FL</v>
      </c>
      <c r="E1908" s="2">
        <v>1</v>
      </c>
      <c r="F1908" s="2">
        <v>1</v>
      </c>
      <c r="G1908" s="2">
        <v>1</v>
      </c>
      <c r="H1908" s="2">
        <v>1</v>
      </c>
    </row>
    <row r="1909" spans="1:8" x14ac:dyDescent="0.25">
      <c r="A1909" s="1" t="str">
        <f>"33303"</f>
        <v>33303</v>
      </c>
      <c r="B1909" s="1" t="str">
        <f>"22744"</f>
        <v>22744</v>
      </c>
      <c r="C1909" s="1" t="str">
        <f>"FORT LAUDERDALE"</f>
        <v>FORT LAUDERDALE</v>
      </c>
      <c r="D1909" s="1" t="str">
        <f>"FL"</f>
        <v>FL</v>
      </c>
      <c r="E1909" s="2">
        <v>1</v>
      </c>
      <c r="F1909" s="2">
        <v>1</v>
      </c>
      <c r="G1909" s="2">
        <v>1</v>
      </c>
      <c r="H1909" s="2">
        <v>1</v>
      </c>
    </row>
    <row r="1910" spans="1:8" x14ac:dyDescent="0.25">
      <c r="A1910" s="1" t="str">
        <f>"48082"</f>
        <v>48082</v>
      </c>
      <c r="B1910" s="1" t="str">
        <f>"47664"</f>
        <v>47664</v>
      </c>
      <c r="C1910" s="1" t="str">
        <f>"SAINT CLAIR SHORES"</f>
        <v>SAINT CLAIR SHORES</v>
      </c>
      <c r="D1910" s="1" t="str">
        <f t="shared" ref="D1910:D1919" si="133">"MI"</f>
        <v>MI</v>
      </c>
      <c r="E1910" s="2">
        <v>1</v>
      </c>
      <c r="F1910" s="2">
        <v>1</v>
      </c>
      <c r="G1910" s="2">
        <v>1</v>
      </c>
      <c r="H1910" s="2">
        <v>1</v>
      </c>
    </row>
    <row r="1911" spans="1:8" x14ac:dyDescent="0.25">
      <c r="A1911" s="1" t="str">
        <f>"48080"</f>
        <v>48080</v>
      </c>
      <c r="B1911" s="1" t="str">
        <f>"19804"</f>
        <v>19804</v>
      </c>
      <c r="C1911" s="1" t="str">
        <f>"SAINT CLAIR SHORES"</f>
        <v>SAINT CLAIR SHORES</v>
      </c>
      <c r="D1911" s="1" t="str">
        <f t="shared" si="133"/>
        <v>MI</v>
      </c>
      <c r="E1911" s="2">
        <v>1.91300008317391E-3</v>
      </c>
      <c r="F1911" s="2">
        <v>0</v>
      </c>
      <c r="G1911" s="2">
        <v>0</v>
      </c>
      <c r="H1911" s="2">
        <v>1.7077517077517001E-3</v>
      </c>
    </row>
    <row r="1912" spans="1:8" x14ac:dyDescent="0.25">
      <c r="A1912" s="1" t="str">
        <f>"48080"</f>
        <v>48080</v>
      </c>
      <c r="B1912" s="1" t="str">
        <f>"47664"</f>
        <v>47664</v>
      </c>
      <c r="C1912" s="1" t="str">
        <f>"SAINT CLAIR SHORES"</f>
        <v>SAINT CLAIR SHORES</v>
      </c>
      <c r="D1912" s="1" t="str">
        <f t="shared" si="133"/>
        <v>MI</v>
      </c>
      <c r="E1912" s="2">
        <v>0.99808699991682603</v>
      </c>
      <c r="F1912" s="2">
        <v>1</v>
      </c>
      <c r="G1912" s="2">
        <v>1</v>
      </c>
      <c r="H1912" s="2">
        <v>0.99829224829224805</v>
      </c>
    </row>
    <row r="1913" spans="1:8" x14ac:dyDescent="0.25">
      <c r="A1913" s="1" t="str">
        <f>"48062"</f>
        <v>48062</v>
      </c>
      <c r="B1913" s="1" t="str">
        <f>"47664"</f>
        <v>47664</v>
      </c>
      <c r="C1913" s="1" t="str">
        <f>"RICHMOND"</f>
        <v>RICHMOND</v>
      </c>
      <c r="D1913" s="1" t="str">
        <f t="shared" si="133"/>
        <v>MI</v>
      </c>
      <c r="E1913" s="2">
        <v>1</v>
      </c>
      <c r="F1913" s="2">
        <v>1</v>
      </c>
      <c r="G1913" s="2">
        <v>1</v>
      </c>
      <c r="H1913" s="2">
        <v>1</v>
      </c>
    </row>
    <row r="1914" spans="1:8" x14ac:dyDescent="0.25">
      <c r="A1914" s="1" t="str">
        <f>"48091"</f>
        <v>48091</v>
      </c>
      <c r="B1914" s="1" t="str">
        <f>"47664"</f>
        <v>47664</v>
      </c>
      <c r="C1914" s="1" t="str">
        <f>"WARREN"</f>
        <v>WARREN</v>
      </c>
      <c r="D1914" s="1" t="str">
        <f t="shared" si="133"/>
        <v>MI</v>
      </c>
      <c r="E1914" s="2">
        <v>1</v>
      </c>
      <c r="F1914" s="2">
        <v>1</v>
      </c>
      <c r="G1914" s="2">
        <v>1</v>
      </c>
      <c r="H1914" s="2">
        <v>1</v>
      </c>
    </row>
    <row r="1915" spans="1:8" x14ac:dyDescent="0.25">
      <c r="A1915" s="1" t="str">
        <f>"48347"</f>
        <v>48347</v>
      </c>
      <c r="B1915" s="1" t="str">
        <f>"47664"</f>
        <v>47664</v>
      </c>
      <c r="C1915" s="1" t="str">
        <f>"CLARKSTON"</f>
        <v>CLARKSTON</v>
      </c>
      <c r="D1915" s="1" t="str">
        <f t="shared" si="133"/>
        <v>MI</v>
      </c>
      <c r="E1915" s="2">
        <v>1</v>
      </c>
      <c r="F1915" s="2">
        <v>1</v>
      </c>
      <c r="G1915" s="2">
        <v>1</v>
      </c>
      <c r="H1915" s="2">
        <v>1</v>
      </c>
    </row>
    <row r="1916" spans="1:8" x14ac:dyDescent="0.25">
      <c r="A1916" s="1" t="str">
        <f>"48304"</f>
        <v>48304</v>
      </c>
      <c r="B1916" s="1" t="str">
        <f>"47664"</f>
        <v>47664</v>
      </c>
      <c r="C1916" s="1" t="str">
        <f>"BLOOMFIELD HILLS"</f>
        <v>BLOOMFIELD HILLS</v>
      </c>
      <c r="D1916" s="1" t="str">
        <f t="shared" si="133"/>
        <v>MI</v>
      </c>
      <c r="E1916" s="2">
        <v>1</v>
      </c>
      <c r="F1916" s="2">
        <v>1</v>
      </c>
      <c r="G1916" s="2">
        <v>1</v>
      </c>
      <c r="H1916" s="2">
        <v>1</v>
      </c>
    </row>
    <row r="1917" spans="1:8" x14ac:dyDescent="0.25">
      <c r="A1917" s="1" t="str">
        <f>"48186"</f>
        <v>48186</v>
      </c>
      <c r="B1917" s="1" t="str">
        <f>"19804"</f>
        <v>19804</v>
      </c>
      <c r="C1917" s="1" t="str">
        <f>"WESTLAND"</f>
        <v>WESTLAND</v>
      </c>
      <c r="D1917" s="1" t="str">
        <f t="shared" si="133"/>
        <v>MI</v>
      </c>
      <c r="E1917" s="2">
        <v>1</v>
      </c>
      <c r="F1917" s="2">
        <v>1</v>
      </c>
      <c r="G1917" s="2">
        <v>1</v>
      </c>
      <c r="H1917" s="2">
        <v>1</v>
      </c>
    </row>
    <row r="1918" spans="1:8" x14ac:dyDescent="0.25">
      <c r="A1918" s="1" t="str">
        <f>"48146"</f>
        <v>48146</v>
      </c>
      <c r="B1918" s="1" t="str">
        <f>"19804"</f>
        <v>19804</v>
      </c>
      <c r="C1918" s="1" t="str">
        <f>"LINCOLN PARK"</f>
        <v>LINCOLN PARK</v>
      </c>
      <c r="D1918" s="1" t="str">
        <f t="shared" si="133"/>
        <v>MI</v>
      </c>
      <c r="E1918" s="2">
        <v>1</v>
      </c>
      <c r="F1918" s="2">
        <v>1</v>
      </c>
      <c r="G1918" s="2">
        <v>1</v>
      </c>
      <c r="H1918" s="2">
        <v>1</v>
      </c>
    </row>
    <row r="1919" spans="1:8" x14ac:dyDescent="0.25">
      <c r="A1919" s="1" t="str">
        <f>"48444"</f>
        <v>48444</v>
      </c>
      <c r="B1919" s="1" t="str">
        <f>"47664"</f>
        <v>47664</v>
      </c>
      <c r="C1919" s="1" t="str">
        <f>"IMLAY CITY"</f>
        <v>IMLAY CITY</v>
      </c>
      <c r="D1919" s="1" t="str">
        <f t="shared" si="133"/>
        <v>MI</v>
      </c>
      <c r="E1919" s="2">
        <v>1</v>
      </c>
      <c r="F1919" s="2">
        <v>1</v>
      </c>
      <c r="G1919" s="2">
        <v>1</v>
      </c>
      <c r="H1919" s="2">
        <v>1</v>
      </c>
    </row>
    <row r="1920" spans="1:8" x14ac:dyDescent="0.25">
      <c r="A1920" s="1" t="str">
        <f>"53179"</f>
        <v>53179</v>
      </c>
      <c r="B1920" s="1" t="str">
        <f>"29404"</f>
        <v>29404</v>
      </c>
      <c r="C1920" s="1" t="str">
        <f>"TREVOR"</f>
        <v>TREVOR</v>
      </c>
      <c r="D1920" s="1" t="str">
        <f>"WI"</f>
        <v>WI</v>
      </c>
      <c r="E1920" s="2">
        <v>1</v>
      </c>
      <c r="F1920" s="2">
        <v>1</v>
      </c>
      <c r="G1920" s="2">
        <v>1</v>
      </c>
      <c r="H1920" s="2">
        <v>1</v>
      </c>
    </row>
    <row r="1921" spans="1:8" x14ac:dyDescent="0.25">
      <c r="A1921" s="1" t="str">
        <f>"53104"</f>
        <v>53104</v>
      </c>
      <c r="B1921" s="1" t="str">
        <f>"29404"</f>
        <v>29404</v>
      </c>
      <c r="C1921" s="1" t="str">
        <f>"BRISTOL"</f>
        <v>BRISTOL</v>
      </c>
      <c r="D1921" s="1" t="str">
        <f>"WI"</f>
        <v>WI</v>
      </c>
      <c r="E1921" s="2">
        <v>1</v>
      </c>
      <c r="F1921" s="2">
        <v>1</v>
      </c>
      <c r="G1921" s="2">
        <v>1</v>
      </c>
      <c r="H1921" s="2">
        <v>1</v>
      </c>
    </row>
    <row r="1922" spans="1:8" x14ac:dyDescent="0.25">
      <c r="A1922" s="1" t="str">
        <f>"60459"</f>
        <v>60459</v>
      </c>
      <c r="B1922" s="1" t="str">
        <f t="shared" ref="B1922:B1928" si="134">"16984"</f>
        <v>16984</v>
      </c>
      <c r="C1922" s="1" t="str">
        <f>"BURBANK"</f>
        <v>BURBANK</v>
      </c>
      <c r="D1922" s="1" t="str">
        <f t="shared" ref="D1922:D1928" si="135">"IL"</f>
        <v>IL</v>
      </c>
      <c r="E1922" s="2">
        <v>1</v>
      </c>
      <c r="F1922" s="2">
        <v>1</v>
      </c>
      <c r="G1922" s="2">
        <v>1</v>
      </c>
      <c r="H1922" s="2">
        <v>1</v>
      </c>
    </row>
    <row r="1923" spans="1:8" x14ac:dyDescent="0.25">
      <c r="A1923" s="1" t="str">
        <f>"60419"</f>
        <v>60419</v>
      </c>
      <c r="B1923" s="1" t="str">
        <f t="shared" si="134"/>
        <v>16984</v>
      </c>
      <c r="C1923" s="1" t="str">
        <f>"DOLTON"</f>
        <v>DOLTON</v>
      </c>
      <c r="D1923" s="1" t="str">
        <f t="shared" si="135"/>
        <v>IL</v>
      </c>
      <c r="E1923" s="2">
        <v>1</v>
      </c>
      <c r="F1923" s="2">
        <v>1</v>
      </c>
      <c r="G1923" s="2">
        <v>1</v>
      </c>
      <c r="H1923" s="2">
        <v>1</v>
      </c>
    </row>
    <row r="1924" spans="1:8" x14ac:dyDescent="0.25">
      <c r="A1924" s="1" t="str">
        <f>"60463"</f>
        <v>60463</v>
      </c>
      <c r="B1924" s="1" t="str">
        <f t="shared" si="134"/>
        <v>16984</v>
      </c>
      <c r="C1924" s="1" t="str">
        <f>"PALOS HEIGHTS"</f>
        <v>PALOS HEIGHTS</v>
      </c>
      <c r="D1924" s="1" t="str">
        <f t="shared" si="135"/>
        <v>IL</v>
      </c>
      <c r="E1924" s="2">
        <v>1</v>
      </c>
      <c r="F1924" s="2">
        <v>1</v>
      </c>
      <c r="G1924" s="2">
        <v>1</v>
      </c>
      <c r="H1924" s="2">
        <v>1</v>
      </c>
    </row>
    <row r="1925" spans="1:8" x14ac:dyDescent="0.25">
      <c r="A1925" s="1" t="str">
        <f>"60193"</f>
        <v>60193</v>
      </c>
      <c r="B1925" s="1" t="str">
        <f t="shared" si="134"/>
        <v>16984</v>
      </c>
      <c r="C1925" s="1" t="str">
        <f>"SCHAUMBURG"</f>
        <v>SCHAUMBURG</v>
      </c>
      <c r="D1925" s="1" t="str">
        <f t="shared" si="135"/>
        <v>IL</v>
      </c>
      <c r="E1925" s="2">
        <v>1</v>
      </c>
      <c r="F1925" s="2">
        <v>1</v>
      </c>
      <c r="G1925" s="2">
        <v>1</v>
      </c>
      <c r="H1925" s="2">
        <v>1</v>
      </c>
    </row>
    <row r="1926" spans="1:8" x14ac:dyDescent="0.25">
      <c r="A1926" s="1" t="str">
        <f>"60659"</f>
        <v>60659</v>
      </c>
      <c r="B1926" s="1" t="str">
        <f t="shared" si="134"/>
        <v>16984</v>
      </c>
      <c r="C1926" s="1" t="str">
        <f>"CHICAGO"</f>
        <v>CHICAGO</v>
      </c>
      <c r="D1926" s="1" t="str">
        <f t="shared" si="135"/>
        <v>IL</v>
      </c>
      <c r="E1926" s="2">
        <v>1</v>
      </c>
      <c r="F1926" s="2">
        <v>1</v>
      </c>
      <c r="G1926" s="2">
        <v>1</v>
      </c>
      <c r="H1926" s="2">
        <v>1</v>
      </c>
    </row>
    <row r="1927" spans="1:8" x14ac:dyDescent="0.25">
      <c r="A1927" s="1" t="str">
        <f>"60649"</f>
        <v>60649</v>
      </c>
      <c r="B1927" s="1" t="str">
        <f t="shared" si="134"/>
        <v>16984</v>
      </c>
      <c r="C1927" s="1" t="str">
        <f>"CHICAGO"</f>
        <v>CHICAGO</v>
      </c>
      <c r="D1927" s="1" t="str">
        <f t="shared" si="135"/>
        <v>IL</v>
      </c>
      <c r="E1927" s="2">
        <v>1</v>
      </c>
      <c r="F1927" s="2">
        <v>1</v>
      </c>
      <c r="G1927" s="2">
        <v>1</v>
      </c>
      <c r="H1927" s="2">
        <v>1</v>
      </c>
    </row>
    <row r="1928" spans="1:8" x14ac:dyDescent="0.25">
      <c r="A1928" s="1" t="str">
        <f>"60602"</f>
        <v>60602</v>
      </c>
      <c r="B1928" s="1" t="str">
        <f t="shared" si="134"/>
        <v>16984</v>
      </c>
      <c r="C1928" s="1" t="str">
        <f>"CHICAGO"</f>
        <v>CHICAGO</v>
      </c>
      <c r="D1928" s="1" t="str">
        <f t="shared" si="135"/>
        <v>IL</v>
      </c>
      <c r="E1928" s="2">
        <v>1</v>
      </c>
      <c r="F1928" s="2">
        <v>1</v>
      </c>
      <c r="G1928" s="2">
        <v>1</v>
      </c>
      <c r="H1928" s="2">
        <v>1</v>
      </c>
    </row>
    <row r="1929" spans="1:8" x14ac:dyDescent="0.25">
      <c r="A1929" s="1" t="str">
        <f>"75006"</f>
        <v>75006</v>
      </c>
      <c r="B1929" s="1" t="str">
        <f>"19124"</f>
        <v>19124</v>
      </c>
      <c r="C1929" s="1" t="str">
        <f>"CARROLLTON"</f>
        <v>CARROLLTON</v>
      </c>
      <c r="D1929" s="1" t="str">
        <f t="shared" ref="D1929:D1937" si="136">"TX"</f>
        <v>TX</v>
      </c>
      <c r="E1929" s="2">
        <v>1</v>
      </c>
      <c r="F1929" s="2">
        <v>1</v>
      </c>
      <c r="G1929" s="2">
        <v>1</v>
      </c>
      <c r="H1929" s="2">
        <v>1</v>
      </c>
    </row>
    <row r="1930" spans="1:8" x14ac:dyDescent="0.25">
      <c r="A1930" s="1" t="str">
        <f>"75050"</f>
        <v>75050</v>
      </c>
      <c r="B1930" s="1" t="str">
        <f>"23104"</f>
        <v>23104</v>
      </c>
      <c r="C1930" s="1" t="str">
        <f>"GRAND PRAIRIE"</f>
        <v>GRAND PRAIRIE</v>
      </c>
      <c r="D1930" s="1" t="str">
        <f t="shared" si="136"/>
        <v>TX</v>
      </c>
      <c r="E1930" s="2">
        <v>0.33762133083849799</v>
      </c>
      <c r="F1930" s="2">
        <v>0.48915569326103697</v>
      </c>
      <c r="G1930" s="2">
        <v>0.53007784854918605</v>
      </c>
      <c r="H1930" s="2">
        <v>0.36905721192586599</v>
      </c>
    </row>
    <row r="1931" spans="1:8" x14ac:dyDescent="0.25">
      <c r="A1931" s="1" t="str">
        <f>"75050"</f>
        <v>75050</v>
      </c>
      <c r="B1931" s="1" t="str">
        <f>"19124"</f>
        <v>19124</v>
      </c>
      <c r="C1931" s="1" t="str">
        <f>"GRAND PRAIRIE"</f>
        <v>GRAND PRAIRIE</v>
      </c>
      <c r="D1931" s="1" t="str">
        <f t="shared" si="136"/>
        <v>TX</v>
      </c>
      <c r="E1931" s="2">
        <v>0.66237866916150101</v>
      </c>
      <c r="F1931" s="2">
        <v>0.51084430673896197</v>
      </c>
      <c r="G1931" s="2">
        <v>0.46992215145081301</v>
      </c>
      <c r="H1931" s="2">
        <v>0.63094278807413295</v>
      </c>
    </row>
    <row r="1932" spans="1:8" x14ac:dyDescent="0.25">
      <c r="A1932" s="1" t="str">
        <f>"75242"</f>
        <v>75242</v>
      </c>
      <c r="B1932" s="1" t="str">
        <f>"19124"</f>
        <v>19124</v>
      </c>
      <c r="C1932" s="1" t="str">
        <f>"DALLAS"</f>
        <v>DALLAS</v>
      </c>
      <c r="D1932" s="1" t="str">
        <f t="shared" si="136"/>
        <v>TX</v>
      </c>
      <c r="E1932" s="2">
        <v>1</v>
      </c>
      <c r="F1932" s="2">
        <v>1</v>
      </c>
      <c r="G1932" s="2">
        <v>1</v>
      </c>
      <c r="H1932" s="2">
        <v>1</v>
      </c>
    </row>
    <row r="1933" spans="1:8" x14ac:dyDescent="0.25">
      <c r="A1933" s="1" t="str">
        <f>"75379"</f>
        <v>75379</v>
      </c>
      <c r="B1933" s="1" t="str">
        <f>"19124"</f>
        <v>19124</v>
      </c>
      <c r="C1933" s="1" t="str">
        <f>"DALLAS"</f>
        <v>DALLAS</v>
      </c>
      <c r="D1933" s="1" t="str">
        <f t="shared" si="136"/>
        <v>TX</v>
      </c>
      <c r="E1933" s="2">
        <v>1</v>
      </c>
      <c r="F1933" s="2">
        <v>1</v>
      </c>
      <c r="G1933" s="2">
        <v>1</v>
      </c>
      <c r="H1933" s="2">
        <v>1</v>
      </c>
    </row>
    <row r="1934" spans="1:8" x14ac:dyDescent="0.25">
      <c r="A1934" s="1" t="str">
        <f>"76071"</f>
        <v>76071</v>
      </c>
      <c r="B1934" s="1" t="str">
        <f>"23104"</f>
        <v>23104</v>
      </c>
      <c r="C1934" s="1" t="str">
        <f>"NEWARK"</f>
        <v>NEWARK</v>
      </c>
      <c r="D1934" s="1" t="str">
        <f t="shared" si="136"/>
        <v>TX</v>
      </c>
      <c r="E1934" s="2">
        <v>1</v>
      </c>
      <c r="F1934" s="2">
        <v>1</v>
      </c>
      <c r="G1934" s="2">
        <v>1</v>
      </c>
      <c r="H1934" s="2">
        <v>1</v>
      </c>
    </row>
    <row r="1935" spans="1:8" x14ac:dyDescent="0.25">
      <c r="A1935" s="1" t="str">
        <f>"76086"</f>
        <v>76086</v>
      </c>
      <c r="B1935" s="1" t="str">
        <f>"23104"</f>
        <v>23104</v>
      </c>
      <c r="C1935" s="1" t="str">
        <f>"WEATHERFORD"</f>
        <v>WEATHERFORD</v>
      </c>
      <c r="D1935" s="1" t="str">
        <f t="shared" si="136"/>
        <v>TX</v>
      </c>
      <c r="E1935" s="2">
        <v>1</v>
      </c>
      <c r="F1935" s="2">
        <v>1</v>
      </c>
      <c r="G1935" s="2">
        <v>1</v>
      </c>
      <c r="H1935" s="2">
        <v>1</v>
      </c>
    </row>
    <row r="1936" spans="1:8" x14ac:dyDescent="0.25">
      <c r="A1936" s="1" t="str">
        <f>"76094"</f>
        <v>76094</v>
      </c>
      <c r="B1936" s="1" t="str">
        <f>"23104"</f>
        <v>23104</v>
      </c>
      <c r="C1936" s="1" t="str">
        <f>"ARLINGTON"</f>
        <v>ARLINGTON</v>
      </c>
      <c r="D1936" s="1" t="str">
        <f t="shared" si="136"/>
        <v>TX</v>
      </c>
      <c r="E1936" s="2">
        <v>1</v>
      </c>
      <c r="F1936" s="2">
        <v>1</v>
      </c>
      <c r="G1936" s="2">
        <v>1</v>
      </c>
      <c r="H1936" s="2">
        <v>1</v>
      </c>
    </row>
    <row r="1937" spans="1:8" x14ac:dyDescent="0.25">
      <c r="A1937" s="1" t="str">
        <f>"76017"</f>
        <v>76017</v>
      </c>
      <c r="B1937" s="1" t="str">
        <f>"23104"</f>
        <v>23104</v>
      </c>
      <c r="C1937" s="1" t="str">
        <f>"ARLINGTON"</f>
        <v>ARLINGTON</v>
      </c>
      <c r="D1937" s="1" t="str">
        <f t="shared" si="136"/>
        <v>TX</v>
      </c>
      <c r="E1937" s="2">
        <v>1</v>
      </c>
      <c r="F1937" s="2">
        <v>1</v>
      </c>
      <c r="G1937" s="2">
        <v>1</v>
      </c>
      <c r="H1937" s="2">
        <v>1</v>
      </c>
    </row>
    <row r="1938" spans="1:8" x14ac:dyDescent="0.25">
      <c r="A1938" s="1" t="str">
        <f>"90201"</f>
        <v>90201</v>
      </c>
      <c r="B1938" s="1" t="str">
        <f t="shared" ref="B1938:B1950" si="137">"31084"</f>
        <v>31084</v>
      </c>
      <c r="C1938" s="1" t="str">
        <f>"BELL GARDENS"</f>
        <v>BELL GARDENS</v>
      </c>
      <c r="D1938" s="1" t="str">
        <f t="shared" ref="D1938:D1960" si="138">"CA"</f>
        <v>CA</v>
      </c>
      <c r="E1938" s="2">
        <v>1</v>
      </c>
      <c r="F1938" s="2">
        <v>1</v>
      </c>
      <c r="G1938" s="2">
        <v>1</v>
      </c>
      <c r="H1938" s="2">
        <v>1</v>
      </c>
    </row>
    <row r="1939" spans="1:8" x14ac:dyDescent="0.25">
      <c r="A1939" s="1" t="str">
        <f>"90212"</f>
        <v>90212</v>
      </c>
      <c r="B1939" s="1" t="str">
        <f t="shared" si="137"/>
        <v>31084</v>
      </c>
      <c r="C1939" s="1" t="str">
        <f>"BEVERLY HILLS"</f>
        <v>BEVERLY HILLS</v>
      </c>
      <c r="D1939" s="1" t="str">
        <f t="shared" si="138"/>
        <v>CA</v>
      </c>
      <c r="E1939" s="2">
        <v>1</v>
      </c>
      <c r="F1939" s="2">
        <v>1</v>
      </c>
      <c r="G1939" s="2">
        <v>1</v>
      </c>
      <c r="H1939" s="2">
        <v>1</v>
      </c>
    </row>
    <row r="1940" spans="1:8" x14ac:dyDescent="0.25">
      <c r="A1940" s="1" t="str">
        <f>"90012"</f>
        <v>90012</v>
      </c>
      <c r="B1940" s="1" t="str">
        <f t="shared" si="137"/>
        <v>31084</v>
      </c>
      <c r="C1940" s="1" t="str">
        <f>"LOS ANGELES"</f>
        <v>LOS ANGELES</v>
      </c>
      <c r="D1940" s="1" t="str">
        <f t="shared" si="138"/>
        <v>CA</v>
      </c>
      <c r="E1940" s="2">
        <v>1</v>
      </c>
      <c r="F1940" s="2">
        <v>1</v>
      </c>
      <c r="G1940" s="2">
        <v>1</v>
      </c>
      <c r="H1940" s="2">
        <v>1</v>
      </c>
    </row>
    <row r="1941" spans="1:8" x14ac:dyDescent="0.25">
      <c r="A1941" s="1" t="str">
        <f>"90003"</f>
        <v>90003</v>
      </c>
      <c r="B1941" s="1" t="str">
        <f t="shared" si="137"/>
        <v>31084</v>
      </c>
      <c r="C1941" s="1" t="str">
        <f>"LOS ANGELES"</f>
        <v>LOS ANGELES</v>
      </c>
      <c r="D1941" s="1" t="str">
        <f t="shared" si="138"/>
        <v>CA</v>
      </c>
      <c r="E1941" s="2">
        <v>1</v>
      </c>
      <c r="F1941" s="2">
        <v>1</v>
      </c>
      <c r="G1941" s="2">
        <v>1</v>
      </c>
      <c r="H1941" s="2">
        <v>1</v>
      </c>
    </row>
    <row r="1942" spans="1:8" x14ac:dyDescent="0.25">
      <c r="A1942" s="1" t="str">
        <f>"90045"</f>
        <v>90045</v>
      </c>
      <c r="B1942" s="1" t="str">
        <f t="shared" si="137"/>
        <v>31084</v>
      </c>
      <c r="C1942" s="1" t="str">
        <f>"LOS ANGELES"</f>
        <v>LOS ANGELES</v>
      </c>
      <c r="D1942" s="1" t="str">
        <f t="shared" si="138"/>
        <v>CA</v>
      </c>
      <c r="E1942" s="2">
        <v>1</v>
      </c>
      <c r="F1942" s="2">
        <v>1</v>
      </c>
      <c r="G1942" s="2">
        <v>1</v>
      </c>
      <c r="H1942" s="2">
        <v>1</v>
      </c>
    </row>
    <row r="1943" spans="1:8" x14ac:dyDescent="0.25">
      <c r="A1943" s="1" t="str">
        <f>"90048"</f>
        <v>90048</v>
      </c>
      <c r="B1943" s="1" t="str">
        <f t="shared" si="137"/>
        <v>31084</v>
      </c>
      <c r="C1943" s="1" t="str">
        <f>"LOS ANGELES"</f>
        <v>LOS ANGELES</v>
      </c>
      <c r="D1943" s="1" t="str">
        <f t="shared" si="138"/>
        <v>CA</v>
      </c>
      <c r="E1943" s="2">
        <v>1</v>
      </c>
      <c r="F1943" s="2">
        <v>1</v>
      </c>
      <c r="G1943" s="2">
        <v>1</v>
      </c>
      <c r="H1943" s="2">
        <v>1</v>
      </c>
    </row>
    <row r="1944" spans="1:8" x14ac:dyDescent="0.25">
      <c r="A1944" s="1" t="str">
        <f>"90062"</f>
        <v>90062</v>
      </c>
      <c r="B1944" s="1" t="str">
        <f t="shared" si="137"/>
        <v>31084</v>
      </c>
      <c r="C1944" s="1" t="str">
        <f>"LOS ANGELES"</f>
        <v>LOS ANGELES</v>
      </c>
      <c r="D1944" s="1" t="str">
        <f t="shared" si="138"/>
        <v>CA</v>
      </c>
      <c r="E1944" s="2">
        <v>1</v>
      </c>
      <c r="F1944" s="2">
        <v>1</v>
      </c>
      <c r="G1944" s="2">
        <v>1</v>
      </c>
      <c r="H1944" s="2">
        <v>1</v>
      </c>
    </row>
    <row r="1945" spans="1:8" x14ac:dyDescent="0.25">
      <c r="A1945" s="1" t="str">
        <f>"90292"</f>
        <v>90292</v>
      </c>
      <c r="B1945" s="1" t="str">
        <f t="shared" si="137"/>
        <v>31084</v>
      </c>
      <c r="C1945" s="1" t="str">
        <f>"MARINA DEL REY"</f>
        <v>MARINA DEL REY</v>
      </c>
      <c r="D1945" s="1" t="str">
        <f t="shared" si="138"/>
        <v>CA</v>
      </c>
      <c r="E1945" s="2">
        <v>1</v>
      </c>
      <c r="F1945" s="2">
        <v>1</v>
      </c>
      <c r="G1945" s="2">
        <v>1</v>
      </c>
      <c r="H1945" s="2">
        <v>1</v>
      </c>
    </row>
    <row r="1946" spans="1:8" x14ac:dyDescent="0.25">
      <c r="A1946" s="1" t="str">
        <f>"90290"</f>
        <v>90290</v>
      </c>
      <c r="B1946" s="1" t="str">
        <f t="shared" si="137"/>
        <v>31084</v>
      </c>
      <c r="C1946" s="1" t="str">
        <f>"TOPANGA"</f>
        <v>TOPANGA</v>
      </c>
      <c r="D1946" s="1" t="str">
        <f t="shared" si="138"/>
        <v>CA</v>
      </c>
      <c r="E1946" s="2">
        <v>1</v>
      </c>
      <c r="F1946" s="2">
        <v>1</v>
      </c>
      <c r="G1946" s="2">
        <v>1</v>
      </c>
      <c r="H1946" s="2">
        <v>1</v>
      </c>
    </row>
    <row r="1947" spans="1:8" x14ac:dyDescent="0.25">
      <c r="A1947" s="1" t="str">
        <f>"91302"</f>
        <v>91302</v>
      </c>
      <c r="B1947" s="1" t="str">
        <f t="shared" si="137"/>
        <v>31084</v>
      </c>
      <c r="C1947" s="1" t="str">
        <f>"CALABASAS"</f>
        <v>CALABASAS</v>
      </c>
      <c r="D1947" s="1" t="str">
        <f t="shared" si="138"/>
        <v>CA</v>
      </c>
      <c r="E1947" s="2">
        <v>1</v>
      </c>
      <c r="F1947" s="2">
        <v>1</v>
      </c>
      <c r="G1947" s="2">
        <v>1</v>
      </c>
      <c r="H1947" s="2">
        <v>1</v>
      </c>
    </row>
    <row r="1948" spans="1:8" x14ac:dyDescent="0.25">
      <c r="A1948" s="1" t="str">
        <f>"90704"</f>
        <v>90704</v>
      </c>
      <c r="B1948" s="1" t="str">
        <f t="shared" si="137"/>
        <v>31084</v>
      </c>
      <c r="C1948" s="1" t="str">
        <f>"AVALON"</f>
        <v>AVALON</v>
      </c>
      <c r="D1948" s="1" t="str">
        <f t="shared" si="138"/>
        <v>CA</v>
      </c>
      <c r="E1948" s="2">
        <v>1</v>
      </c>
      <c r="F1948" s="2">
        <v>1</v>
      </c>
      <c r="G1948" s="2">
        <v>1</v>
      </c>
      <c r="H1948" s="2">
        <v>1</v>
      </c>
    </row>
    <row r="1949" spans="1:8" x14ac:dyDescent="0.25">
      <c r="A1949" s="1" t="str">
        <f>"93551"</f>
        <v>93551</v>
      </c>
      <c r="B1949" s="1" t="str">
        <f t="shared" si="137"/>
        <v>31084</v>
      </c>
      <c r="C1949" s="1" t="str">
        <f>"PALMDALE"</f>
        <v>PALMDALE</v>
      </c>
      <c r="D1949" s="1" t="str">
        <f t="shared" si="138"/>
        <v>CA</v>
      </c>
      <c r="E1949" s="2">
        <v>1</v>
      </c>
      <c r="F1949" s="2">
        <v>1</v>
      </c>
      <c r="G1949" s="2">
        <v>1</v>
      </c>
      <c r="H1949" s="2">
        <v>1</v>
      </c>
    </row>
    <row r="1950" spans="1:8" x14ac:dyDescent="0.25">
      <c r="A1950" s="1" t="str">
        <f>"91106"</f>
        <v>91106</v>
      </c>
      <c r="B1950" s="1" t="str">
        <f t="shared" si="137"/>
        <v>31084</v>
      </c>
      <c r="C1950" s="1" t="str">
        <f>"PASADENA"</f>
        <v>PASADENA</v>
      </c>
      <c r="D1950" s="1" t="str">
        <f t="shared" si="138"/>
        <v>CA</v>
      </c>
      <c r="E1950" s="2">
        <v>1</v>
      </c>
      <c r="F1950" s="2">
        <v>1</v>
      </c>
      <c r="G1950" s="2">
        <v>1</v>
      </c>
      <c r="H1950" s="2">
        <v>1</v>
      </c>
    </row>
    <row r="1951" spans="1:8" x14ac:dyDescent="0.25">
      <c r="A1951" s="1" t="str">
        <f>"94019"</f>
        <v>94019</v>
      </c>
      <c r="B1951" s="1" t="str">
        <f>"41884"</f>
        <v>41884</v>
      </c>
      <c r="C1951" s="1" t="str">
        <f>"HALF MOON BAY"</f>
        <v>HALF MOON BAY</v>
      </c>
      <c r="D1951" s="1" t="str">
        <f t="shared" si="138"/>
        <v>CA</v>
      </c>
      <c r="E1951" s="2">
        <v>1</v>
      </c>
      <c r="F1951" s="2">
        <v>1</v>
      </c>
      <c r="G1951" s="2">
        <v>1</v>
      </c>
      <c r="H1951" s="2">
        <v>1</v>
      </c>
    </row>
    <row r="1952" spans="1:8" x14ac:dyDescent="0.25">
      <c r="A1952" s="1" t="str">
        <f>"92867"</f>
        <v>92867</v>
      </c>
      <c r="B1952" s="1" t="str">
        <f>"11244"</f>
        <v>11244</v>
      </c>
      <c r="C1952" s="1" t="str">
        <f>"ORANGE"</f>
        <v>ORANGE</v>
      </c>
      <c r="D1952" s="1" t="str">
        <f t="shared" si="138"/>
        <v>CA</v>
      </c>
      <c r="E1952" s="2">
        <v>1</v>
      </c>
      <c r="F1952" s="2">
        <v>1</v>
      </c>
      <c r="G1952" s="2">
        <v>1</v>
      </c>
      <c r="H1952" s="2">
        <v>1</v>
      </c>
    </row>
    <row r="1953" spans="1:8" x14ac:dyDescent="0.25">
      <c r="A1953" s="1" t="str">
        <f>"92610"</f>
        <v>92610</v>
      </c>
      <c r="B1953" s="1" t="str">
        <f>"11244"</f>
        <v>11244</v>
      </c>
      <c r="C1953" s="1" t="str">
        <f>"FOOTHILL RANCH"</f>
        <v>FOOTHILL RANCH</v>
      </c>
      <c r="D1953" s="1" t="str">
        <f t="shared" si="138"/>
        <v>CA</v>
      </c>
      <c r="E1953" s="2">
        <v>1</v>
      </c>
      <c r="F1953" s="2">
        <v>1</v>
      </c>
      <c r="G1953" s="2">
        <v>1</v>
      </c>
      <c r="H1953" s="2">
        <v>1</v>
      </c>
    </row>
    <row r="1954" spans="1:8" x14ac:dyDescent="0.25">
      <c r="A1954" s="1" t="str">
        <f>"94107"</f>
        <v>94107</v>
      </c>
      <c r="B1954" s="1" t="str">
        <f>"41884"</f>
        <v>41884</v>
      </c>
      <c r="C1954" s="1" t="str">
        <f>"SAN FRANCISCO"</f>
        <v>SAN FRANCISCO</v>
      </c>
      <c r="D1954" s="1" t="str">
        <f t="shared" si="138"/>
        <v>CA</v>
      </c>
      <c r="E1954" s="2">
        <v>1</v>
      </c>
      <c r="F1954" s="2">
        <v>1</v>
      </c>
      <c r="G1954" s="2">
        <v>1</v>
      </c>
      <c r="H1954" s="2">
        <v>1</v>
      </c>
    </row>
    <row r="1955" spans="1:8" x14ac:dyDescent="0.25">
      <c r="A1955" s="1" t="str">
        <f>"94109"</f>
        <v>94109</v>
      </c>
      <c r="B1955" s="1" t="str">
        <f>"41884"</f>
        <v>41884</v>
      </c>
      <c r="C1955" s="1" t="str">
        <f>"SAN FRANCISCO"</f>
        <v>SAN FRANCISCO</v>
      </c>
      <c r="D1955" s="1" t="str">
        <f t="shared" si="138"/>
        <v>CA</v>
      </c>
      <c r="E1955" s="2">
        <v>1</v>
      </c>
      <c r="F1955" s="2">
        <v>1</v>
      </c>
      <c r="G1955" s="2">
        <v>1</v>
      </c>
      <c r="H1955" s="2">
        <v>1</v>
      </c>
    </row>
    <row r="1956" spans="1:8" x14ac:dyDescent="0.25">
      <c r="A1956" s="1" t="str">
        <f>"94103"</f>
        <v>94103</v>
      </c>
      <c r="B1956" s="1" t="str">
        <f>"41884"</f>
        <v>41884</v>
      </c>
      <c r="C1956" s="1" t="str">
        <f>"SAN FRANCISCO"</f>
        <v>SAN FRANCISCO</v>
      </c>
      <c r="D1956" s="1" t="str">
        <f t="shared" si="138"/>
        <v>CA</v>
      </c>
      <c r="E1956" s="2">
        <v>1</v>
      </c>
      <c r="F1956" s="2">
        <v>1</v>
      </c>
      <c r="G1956" s="2">
        <v>1</v>
      </c>
      <c r="H1956" s="2">
        <v>1</v>
      </c>
    </row>
    <row r="1957" spans="1:8" x14ac:dyDescent="0.25">
      <c r="A1957" s="1" t="str">
        <f>"94538"</f>
        <v>94538</v>
      </c>
      <c r="B1957" s="1" t="str">
        <f>"36084"</f>
        <v>36084</v>
      </c>
      <c r="C1957" s="1" t="str">
        <f>"FREMONT"</f>
        <v>FREMONT</v>
      </c>
      <c r="D1957" s="1" t="str">
        <f t="shared" si="138"/>
        <v>CA</v>
      </c>
      <c r="E1957" s="2">
        <v>1</v>
      </c>
      <c r="F1957" s="2">
        <v>1</v>
      </c>
      <c r="G1957" s="2">
        <v>1</v>
      </c>
      <c r="H1957" s="2">
        <v>1</v>
      </c>
    </row>
    <row r="1958" spans="1:8" x14ac:dyDescent="0.25">
      <c r="A1958" s="1" t="str">
        <f>"94965"</f>
        <v>94965</v>
      </c>
      <c r="B1958" s="1" t="str">
        <f>"42034"</f>
        <v>42034</v>
      </c>
      <c r="C1958" s="1" t="str">
        <f>"SAUSALITO"</f>
        <v>SAUSALITO</v>
      </c>
      <c r="D1958" s="1" t="str">
        <f t="shared" si="138"/>
        <v>CA</v>
      </c>
      <c r="E1958" s="2">
        <v>1</v>
      </c>
      <c r="F1958" s="2">
        <v>1</v>
      </c>
      <c r="G1958" s="2">
        <v>1</v>
      </c>
      <c r="H1958" s="2">
        <v>1</v>
      </c>
    </row>
    <row r="1959" spans="1:8" x14ac:dyDescent="0.25">
      <c r="A1959" s="1" t="str">
        <f>"94595"</f>
        <v>94595</v>
      </c>
      <c r="B1959" s="1" t="str">
        <f>"36084"</f>
        <v>36084</v>
      </c>
      <c r="C1959" s="1" t="str">
        <f>"WALNUT CREEK"</f>
        <v>WALNUT CREEK</v>
      </c>
      <c r="D1959" s="1" t="str">
        <f t="shared" si="138"/>
        <v>CA</v>
      </c>
      <c r="E1959" s="2">
        <v>1</v>
      </c>
      <c r="F1959" s="2">
        <v>1</v>
      </c>
      <c r="G1959" s="2">
        <v>1</v>
      </c>
      <c r="H1959" s="2">
        <v>1</v>
      </c>
    </row>
    <row r="1960" spans="1:8" x14ac:dyDescent="0.25">
      <c r="A1960" s="1" t="str">
        <f>"94587"</f>
        <v>94587</v>
      </c>
      <c r="B1960" s="1" t="str">
        <f>"36084"</f>
        <v>36084</v>
      </c>
      <c r="C1960" s="1" t="str">
        <f>"UNION CITY"</f>
        <v>UNION CITY</v>
      </c>
      <c r="D1960" s="1" t="str">
        <f t="shared" si="138"/>
        <v>CA</v>
      </c>
      <c r="E1960" s="2">
        <v>1</v>
      </c>
      <c r="F1960" s="2">
        <v>1</v>
      </c>
      <c r="G1960" s="2">
        <v>1</v>
      </c>
      <c r="H1960" s="2">
        <v>1</v>
      </c>
    </row>
    <row r="1961" spans="1:8" x14ac:dyDescent="0.25">
      <c r="A1961" s="1" t="str">
        <f>"98012"</f>
        <v>98012</v>
      </c>
      <c r="B1961" s="1" t="str">
        <f>"42644"</f>
        <v>42644</v>
      </c>
      <c r="C1961" s="1" t="str">
        <f>"BOTHELL"</f>
        <v>BOTHELL</v>
      </c>
      <c r="D1961" s="1" t="str">
        <f t="shared" ref="D1961:D1966" si="139">"WA"</f>
        <v>WA</v>
      </c>
      <c r="E1961" s="2">
        <v>1</v>
      </c>
      <c r="F1961" s="2">
        <v>1</v>
      </c>
      <c r="G1961" s="2">
        <v>1</v>
      </c>
      <c r="H1961" s="2">
        <v>1</v>
      </c>
    </row>
    <row r="1962" spans="1:8" x14ac:dyDescent="0.25">
      <c r="A1962" s="1" t="str">
        <f>"98030"</f>
        <v>98030</v>
      </c>
      <c r="B1962" s="1" t="str">
        <f>"42644"</f>
        <v>42644</v>
      </c>
      <c r="C1962" s="1" t="str">
        <f>"KENT"</f>
        <v>KENT</v>
      </c>
      <c r="D1962" s="1" t="str">
        <f t="shared" si="139"/>
        <v>WA</v>
      </c>
      <c r="E1962" s="2">
        <v>1</v>
      </c>
      <c r="F1962" s="2">
        <v>1</v>
      </c>
      <c r="G1962" s="2">
        <v>1</v>
      </c>
      <c r="H1962" s="2">
        <v>1</v>
      </c>
    </row>
    <row r="1963" spans="1:8" x14ac:dyDescent="0.25">
      <c r="A1963" s="1" t="str">
        <f>"98065"</f>
        <v>98065</v>
      </c>
      <c r="B1963" s="1" t="str">
        <f>"42644"</f>
        <v>42644</v>
      </c>
      <c r="C1963" s="1" t="str">
        <f>"SNOQUALMIE"</f>
        <v>SNOQUALMIE</v>
      </c>
      <c r="D1963" s="1" t="str">
        <f t="shared" si="139"/>
        <v>WA</v>
      </c>
      <c r="E1963" s="2">
        <v>1</v>
      </c>
      <c r="F1963" s="2">
        <v>1</v>
      </c>
      <c r="G1963" s="2">
        <v>1</v>
      </c>
      <c r="H1963" s="2">
        <v>1</v>
      </c>
    </row>
    <row r="1964" spans="1:8" x14ac:dyDescent="0.25">
      <c r="A1964" s="1" t="str">
        <f>"98375"</f>
        <v>98375</v>
      </c>
      <c r="B1964" s="1" t="str">
        <f>"45104"</f>
        <v>45104</v>
      </c>
      <c r="C1964" s="1" t="str">
        <f>"PUYALLUP"</f>
        <v>PUYALLUP</v>
      </c>
      <c r="D1964" s="1" t="str">
        <f t="shared" si="139"/>
        <v>WA</v>
      </c>
      <c r="E1964" s="2">
        <v>1</v>
      </c>
      <c r="F1964" s="2">
        <v>1</v>
      </c>
      <c r="G1964" s="2">
        <v>1</v>
      </c>
      <c r="H1964" s="2">
        <v>1</v>
      </c>
    </row>
    <row r="1965" spans="1:8" x14ac:dyDescent="0.25">
      <c r="A1965" s="1" t="str">
        <f>"98349"</f>
        <v>98349</v>
      </c>
      <c r="B1965" s="1" t="str">
        <f>"45104"</f>
        <v>45104</v>
      </c>
      <c r="C1965" s="1" t="str">
        <f>"LAKEBAY"</f>
        <v>LAKEBAY</v>
      </c>
      <c r="D1965" s="1" t="str">
        <f t="shared" si="139"/>
        <v>WA</v>
      </c>
      <c r="E1965" s="2">
        <v>1</v>
      </c>
      <c r="F1965" s="2">
        <v>1</v>
      </c>
      <c r="G1965" s="2">
        <v>1</v>
      </c>
      <c r="H1965" s="2">
        <v>1</v>
      </c>
    </row>
    <row r="1966" spans="1:8" x14ac:dyDescent="0.25">
      <c r="A1966" s="1" t="str">
        <f>"98223"</f>
        <v>98223</v>
      </c>
      <c r="B1966" s="1" t="str">
        <f>"42644"</f>
        <v>42644</v>
      </c>
      <c r="C1966" s="1" t="str">
        <f>"ARLINGTON"</f>
        <v>ARLINGTON</v>
      </c>
      <c r="D1966" s="1" t="str">
        <f t="shared" si="139"/>
        <v>WA</v>
      </c>
      <c r="E1966" s="2">
        <v>1</v>
      </c>
      <c r="F1966" s="2">
        <v>1</v>
      </c>
      <c r="G1966" s="2">
        <v>1</v>
      </c>
      <c r="H1966" s="2">
        <v>1</v>
      </c>
    </row>
    <row r="1967" spans="1:8" x14ac:dyDescent="0.25">
      <c r="A1967" s="1" t="str">
        <f>"11957"</f>
        <v>11957</v>
      </c>
      <c r="B1967" s="1" t="str">
        <f>"35004"</f>
        <v>35004</v>
      </c>
      <c r="C1967" s="1" t="str">
        <f>"ORIENT"</f>
        <v>ORIENT</v>
      </c>
      <c r="D1967" s="1" t="str">
        <f>"NY"</f>
        <v>NY</v>
      </c>
      <c r="E1967" s="2">
        <v>1</v>
      </c>
      <c r="F1967" s="2">
        <v>1</v>
      </c>
      <c r="G1967" s="2">
        <v>1</v>
      </c>
      <c r="H1967" s="2">
        <v>1</v>
      </c>
    </row>
    <row r="1968" spans="1:8" x14ac:dyDescent="0.25">
      <c r="A1968" s="1" t="str">
        <f>"20615"</f>
        <v>20615</v>
      </c>
      <c r="B1968" s="1" t="str">
        <f>"47894"</f>
        <v>47894</v>
      </c>
      <c r="C1968" s="1" t="str">
        <f>"BROOMES ISLAND"</f>
        <v>BROOMES ISLAND</v>
      </c>
      <c r="D1968" s="1" t="str">
        <f>"MD"</f>
        <v>MD</v>
      </c>
      <c r="E1968" s="2">
        <v>1</v>
      </c>
      <c r="F1968" s="2">
        <v>1</v>
      </c>
      <c r="G1968" s="2">
        <v>1</v>
      </c>
      <c r="H1968" s="2">
        <v>1</v>
      </c>
    </row>
    <row r="1969" spans="1:8" x14ac:dyDescent="0.25">
      <c r="A1969" s="1" t="str">
        <f>"20762"</f>
        <v>20762</v>
      </c>
      <c r="B1969" s="1" t="str">
        <f>"47894"</f>
        <v>47894</v>
      </c>
      <c r="C1969" s="1" t="str">
        <f>"ANDREWS AIR FORCE BASE"</f>
        <v>ANDREWS AIR FORCE BASE</v>
      </c>
      <c r="D1969" s="1" t="str">
        <f>"MD"</f>
        <v>MD</v>
      </c>
      <c r="E1969" s="2">
        <v>1</v>
      </c>
      <c r="F1969" s="2">
        <v>1</v>
      </c>
      <c r="G1969" s="2">
        <v>1</v>
      </c>
      <c r="H1969" s="2">
        <v>1</v>
      </c>
    </row>
    <row r="1970" spans="1:8" x14ac:dyDescent="0.25">
      <c r="A1970" s="1" t="str">
        <f>"20824"</f>
        <v>20824</v>
      </c>
      <c r="B1970" s="1" t="str">
        <f>"23224"</f>
        <v>23224</v>
      </c>
      <c r="C1970" s="1" t="str">
        <f>"BETHESDA"</f>
        <v>BETHESDA</v>
      </c>
      <c r="D1970" s="1" t="str">
        <f>"MD"</f>
        <v>MD</v>
      </c>
      <c r="E1970" s="2">
        <v>1</v>
      </c>
      <c r="F1970" s="2">
        <v>1</v>
      </c>
      <c r="G1970" s="2">
        <v>1</v>
      </c>
      <c r="H1970" s="2">
        <v>1</v>
      </c>
    </row>
    <row r="1971" spans="1:8" x14ac:dyDescent="0.25">
      <c r="A1971" s="1" t="str">
        <f>"20178"</f>
        <v>20178</v>
      </c>
      <c r="B1971" s="1" t="str">
        <f>"47894"</f>
        <v>47894</v>
      </c>
      <c r="C1971" s="1" t="str">
        <f>"LEESBURG"</f>
        <v>LEESBURG</v>
      </c>
      <c r="D1971" s="1" t="str">
        <f>"VA"</f>
        <v>VA</v>
      </c>
      <c r="E1971" s="2">
        <v>1</v>
      </c>
      <c r="F1971" s="2">
        <v>1</v>
      </c>
      <c r="G1971" s="2">
        <v>1</v>
      </c>
      <c r="H1971" s="2">
        <v>1</v>
      </c>
    </row>
    <row r="1972" spans="1:8" x14ac:dyDescent="0.25">
      <c r="A1972" s="1" t="str">
        <f>"48189"</f>
        <v>48189</v>
      </c>
      <c r="B1972" s="1" t="str">
        <f>"47664"</f>
        <v>47664</v>
      </c>
      <c r="C1972" s="1" t="str">
        <f>"WHITMORE LAKE"</f>
        <v>WHITMORE LAKE</v>
      </c>
      <c r="D1972" s="1" t="str">
        <f>"MI"</f>
        <v>MI</v>
      </c>
      <c r="E1972" s="2">
        <v>1</v>
      </c>
      <c r="F1972" s="2">
        <v>1</v>
      </c>
      <c r="G1972" s="2">
        <v>1</v>
      </c>
      <c r="H1972" s="2">
        <v>1</v>
      </c>
    </row>
    <row r="1973" spans="1:8" x14ac:dyDescent="0.25">
      <c r="A1973" s="1" t="str">
        <f>"91309"</f>
        <v>91309</v>
      </c>
      <c r="B1973" s="1" t="str">
        <f>"31084"</f>
        <v>31084</v>
      </c>
      <c r="C1973" s="1" t="str">
        <f>"CANOGA PARK"</f>
        <v>CANOGA PARK</v>
      </c>
      <c r="D1973" s="1" t="str">
        <f>"CA"</f>
        <v>CA</v>
      </c>
      <c r="E1973" s="2">
        <v>1</v>
      </c>
      <c r="F1973" s="2">
        <v>1</v>
      </c>
      <c r="G1973" s="2">
        <v>1</v>
      </c>
      <c r="H1973" s="2">
        <v>1</v>
      </c>
    </row>
    <row r="1974" spans="1:8" x14ac:dyDescent="0.25">
      <c r="A1974" s="1" t="str">
        <f>"98448"</f>
        <v>98448</v>
      </c>
      <c r="B1974" s="1" t="str">
        <f>"45104"</f>
        <v>45104</v>
      </c>
      <c r="C1974" s="1" t="str">
        <f>"TACOMA"</f>
        <v>TACOMA</v>
      </c>
      <c r="D1974" s="1" t="str">
        <f>"WA"</f>
        <v>WA</v>
      </c>
      <c r="E1974" s="2">
        <v>1</v>
      </c>
      <c r="F1974" s="2">
        <v>1</v>
      </c>
      <c r="G1974" s="2">
        <v>1</v>
      </c>
      <c r="H1974" s="2">
        <v>1</v>
      </c>
    </row>
    <row r="1975" spans="1:8" x14ac:dyDescent="0.25">
      <c r="A1975" s="1" t="str">
        <f>"10602"</f>
        <v>10602</v>
      </c>
      <c r="B1975" s="1" t="str">
        <f>"35614"</f>
        <v>35614</v>
      </c>
      <c r="C1975" s="1" t="str">
        <f>"WHITE PLAINS"</f>
        <v>WHITE PLAINS</v>
      </c>
      <c r="D1975" s="1" t="str">
        <f>"NY"</f>
        <v>NY</v>
      </c>
      <c r="E1975" s="2">
        <v>1</v>
      </c>
      <c r="F1975" s="2">
        <v>1</v>
      </c>
      <c r="G1975" s="2">
        <v>1</v>
      </c>
      <c r="H1975" s="2">
        <v>1</v>
      </c>
    </row>
    <row r="1976" spans="1:8" x14ac:dyDescent="0.25">
      <c r="A1976" s="1" t="str">
        <f>"20718"</f>
        <v>20718</v>
      </c>
      <c r="B1976" s="1" t="str">
        <f>"47894"</f>
        <v>47894</v>
      </c>
      <c r="C1976" s="1" t="str">
        <f>"BOWIE"</f>
        <v>BOWIE</v>
      </c>
      <c r="D1976" s="1" t="str">
        <f>"MD"</f>
        <v>MD</v>
      </c>
      <c r="E1976" s="2">
        <v>1</v>
      </c>
      <c r="F1976" s="2">
        <v>1</v>
      </c>
      <c r="G1976" s="2">
        <v>1</v>
      </c>
      <c r="H1976" s="2">
        <v>1</v>
      </c>
    </row>
    <row r="1977" spans="1:8" x14ac:dyDescent="0.25">
      <c r="A1977" s="1" t="str">
        <f>"33280"</f>
        <v>33280</v>
      </c>
      <c r="B1977" s="1" t="str">
        <f>"33124"</f>
        <v>33124</v>
      </c>
      <c r="C1977" s="1" t="str">
        <f>"MIAMI"</f>
        <v>MIAMI</v>
      </c>
      <c r="D1977" s="1" t="str">
        <f>"FL"</f>
        <v>FL</v>
      </c>
      <c r="E1977" s="2">
        <v>1</v>
      </c>
      <c r="F1977" s="2">
        <v>1</v>
      </c>
      <c r="G1977" s="2">
        <v>1</v>
      </c>
      <c r="H1977" s="2">
        <v>1</v>
      </c>
    </row>
    <row r="1978" spans="1:8" x14ac:dyDescent="0.25">
      <c r="A1978" s="1" t="str">
        <f>"48453"</f>
        <v>48453</v>
      </c>
      <c r="B1978" s="1" t="str">
        <f>"47664"</f>
        <v>47664</v>
      </c>
      <c r="C1978" s="1" t="str">
        <f>"MARLETTE"</f>
        <v>MARLETTE</v>
      </c>
      <c r="D1978" s="1" t="str">
        <f>"MI"</f>
        <v>MI</v>
      </c>
      <c r="E1978" s="2">
        <v>1</v>
      </c>
      <c r="F1978" s="2">
        <v>1</v>
      </c>
      <c r="G1978" s="2">
        <v>1</v>
      </c>
      <c r="H1978" s="2">
        <v>1</v>
      </c>
    </row>
    <row r="1979" spans="1:8" x14ac:dyDescent="0.25">
      <c r="A1979" s="1" t="str">
        <f>"48744"</f>
        <v>48744</v>
      </c>
      <c r="B1979" s="1" t="str">
        <f>"47664"</f>
        <v>47664</v>
      </c>
      <c r="C1979" s="1" t="str">
        <f>"MAYVILLE"</f>
        <v>MAYVILLE</v>
      </c>
      <c r="D1979" s="1" t="str">
        <f>"MI"</f>
        <v>MI</v>
      </c>
      <c r="E1979" s="2">
        <v>1</v>
      </c>
      <c r="F1979" s="2">
        <v>1</v>
      </c>
      <c r="G1979" s="2">
        <v>0</v>
      </c>
      <c r="H1979" s="2">
        <v>1</v>
      </c>
    </row>
    <row r="1980" spans="1:8" x14ac:dyDescent="0.25">
      <c r="A1980" s="1" t="str">
        <f>"76101"</f>
        <v>76101</v>
      </c>
      <c r="B1980" s="1" t="str">
        <f>"23104"</f>
        <v>23104</v>
      </c>
      <c r="C1980" s="1" t="str">
        <f>"FORT WORTH"</f>
        <v>FORT WORTH</v>
      </c>
      <c r="D1980" s="1" t="str">
        <f>"TX"</f>
        <v>TX</v>
      </c>
      <c r="E1980" s="2">
        <v>1</v>
      </c>
      <c r="F1980" s="2">
        <v>1</v>
      </c>
      <c r="G1980" s="2">
        <v>1</v>
      </c>
      <c r="H1980" s="2">
        <v>1</v>
      </c>
    </row>
    <row r="1981" spans="1:8" x14ac:dyDescent="0.25">
      <c r="A1981" s="1" t="str">
        <f>"91404"</f>
        <v>91404</v>
      </c>
      <c r="B1981" s="1" t="str">
        <f>"31084"</f>
        <v>31084</v>
      </c>
      <c r="C1981" s="1" t="str">
        <f>"VAN NUYS"</f>
        <v>VAN NUYS</v>
      </c>
      <c r="D1981" s="1" t="str">
        <f>"CA"</f>
        <v>CA</v>
      </c>
      <c r="E1981" s="2">
        <v>1</v>
      </c>
      <c r="F1981" s="2">
        <v>1</v>
      </c>
      <c r="G1981" s="2">
        <v>1</v>
      </c>
      <c r="H1981" s="2">
        <v>1</v>
      </c>
    </row>
    <row r="1982" spans="1:8" x14ac:dyDescent="0.25">
      <c r="A1982" s="1" t="str">
        <f>"02196"</f>
        <v>02196</v>
      </c>
      <c r="B1982" s="1" t="str">
        <f>"14454"</f>
        <v>14454</v>
      </c>
      <c r="C1982" s="1" t="str">
        <f>"BOSTON"</f>
        <v>BOSTON</v>
      </c>
      <c r="D1982" s="1" t="str">
        <f>"MA"</f>
        <v>MA</v>
      </c>
      <c r="E1982" s="2">
        <v>1</v>
      </c>
      <c r="F1982" s="2">
        <v>1</v>
      </c>
      <c r="G1982" s="2">
        <v>1</v>
      </c>
      <c r="H1982" s="2">
        <v>1</v>
      </c>
    </row>
    <row r="1983" spans="1:8" x14ac:dyDescent="0.25">
      <c r="A1983" s="1" t="str">
        <f>"20689"</f>
        <v>20689</v>
      </c>
      <c r="B1983" s="1" t="str">
        <f>"47894"</f>
        <v>47894</v>
      </c>
      <c r="C1983" s="1" t="str">
        <f>"SUNDERLAND"</f>
        <v>SUNDERLAND</v>
      </c>
      <c r="D1983" s="1" t="str">
        <f>"MD"</f>
        <v>MD</v>
      </c>
      <c r="E1983" s="2">
        <v>1</v>
      </c>
      <c r="F1983" s="2">
        <v>1</v>
      </c>
      <c r="G1983" s="2">
        <v>1</v>
      </c>
      <c r="H1983" s="2">
        <v>1</v>
      </c>
    </row>
    <row r="1984" spans="1:8" x14ac:dyDescent="0.25">
      <c r="A1984" s="1" t="str">
        <f>"11569"</f>
        <v>11569</v>
      </c>
      <c r="B1984" s="1" t="str">
        <f>"35004"</f>
        <v>35004</v>
      </c>
      <c r="C1984" s="1" t="str">
        <f>"POINT LOOKOUT"</f>
        <v>POINT LOOKOUT</v>
      </c>
      <c r="D1984" s="1" t="str">
        <f>"NY"</f>
        <v>NY</v>
      </c>
      <c r="E1984" s="2">
        <v>1</v>
      </c>
      <c r="F1984" s="2">
        <v>1</v>
      </c>
      <c r="G1984" s="2">
        <v>0</v>
      </c>
      <c r="H1984" s="2">
        <v>1</v>
      </c>
    </row>
    <row r="1985" spans="1:8" x14ac:dyDescent="0.25">
      <c r="A1985" s="1" t="str">
        <f>"22103"</f>
        <v>22103</v>
      </c>
      <c r="B1985" s="1" t="str">
        <f>"47894"</f>
        <v>47894</v>
      </c>
      <c r="C1985" s="1" t="str">
        <f>"WEST MCLEAN"</f>
        <v>WEST MCLEAN</v>
      </c>
      <c r="D1985" s="1" t="str">
        <f>"VA"</f>
        <v>VA</v>
      </c>
      <c r="E1985" s="2">
        <v>1</v>
      </c>
      <c r="F1985" s="2">
        <v>1</v>
      </c>
      <c r="G1985" s="2">
        <v>1</v>
      </c>
      <c r="H1985" s="2">
        <v>1</v>
      </c>
    </row>
    <row r="1986" spans="1:8" x14ac:dyDescent="0.25">
      <c r="A1986" s="1" t="str">
        <f>"33329"</f>
        <v>33329</v>
      </c>
      <c r="B1986" s="1" t="str">
        <f>"22744"</f>
        <v>22744</v>
      </c>
      <c r="C1986" s="1" t="str">
        <f>"FORT LAUDERDALE"</f>
        <v>FORT LAUDERDALE</v>
      </c>
      <c r="D1986" s="1" t="str">
        <f>"FL"</f>
        <v>FL</v>
      </c>
      <c r="E1986" s="2">
        <v>1</v>
      </c>
      <c r="F1986" s="2">
        <v>1</v>
      </c>
      <c r="G1986" s="2">
        <v>1</v>
      </c>
      <c r="H1986" s="2">
        <v>1</v>
      </c>
    </row>
    <row r="1987" spans="1:8" x14ac:dyDescent="0.25">
      <c r="A1987" s="1" t="str">
        <f>"07926"</f>
        <v>07926</v>
      </c>
      <c r="B1987" s="1" t="str">
        <f>"35084"</f>
        <v>35084</v>
      </c>
      <c r="C1987" s="1" t="str">
        <f>"BROOKSIDE"</f>
        <v>BROOKSIDE</v>
      </c>
      <c r="D1987" s="1" t="str">
        <f>"NJ"</f>
        <v>NJ</v>
      </c>
      <c r="E1987" s="2">
        <v>1</v>
      </c>
      <c r="F1987" s="2">
        <v>1</v>
      </c>
      <c r="G1987" s="2">
        <v>1</v>
      </c>
      <c r="H1987" s="2">
        <v>1</v>
      </c>
    </row>
    <row r="1988" spans="1:8" x14ac:dyDescent="0.25">
      <c r="A1988" s="1" t="str">
        <f>"20750"</f>
        <v>20750</v>
      </c>
      <c r="B1988" s="1" t="str">
        <f>"47894"</f>
        <v>47894</v>
      </c>
      <c r="C1988" s="1" t="str">
        <f>"OXON HILL"</f>
        <v>OXON HILL</v>
      </c>
      <c r="D1988" s="1" t="str">
        <f>"MD"</f>
        <v>MD</v>
      </c>
      <c r="E1988" s="2">
        <v>1</v>
      </c>
      <c r="F1988" s="2">
        <v>1</v>
      </c>
      <c r="G1988" s="2">
        <v>1</v>
      </c>
      <c r="H1988" s="2">
        <v>1</v>
      </c>
    </row>
    <row r="1989" spans="1:8" x14ac:dyDescent="0.25">
      <c r="A1989" s="1" t="str">
        <f>"20825"</f>
        <v>20825</v>
      </c>
      <c r="B1989" s="1" t="str">
        <f>"23224"</f>
        <v>23224</v>
      </c>
      <c r="C1989" s="1" t="str">
        <f>"CHEVY CHASE"</f>
        <v>CHEVY CHASE</v>
      </c>
      <c r="D1989" s="1" t="str">
        <f>"MD"</f>
        <v>MD</v>
      </c>
      <c r="E1989" s="2">
        <v>1</v>
      </c>
      <c r="F1989" s="2">
        <v>1</v>
      </c>
      <c r="G1989" s="2">
        <v>1</v>
      </c>
      <c r="H1989" s="2">
        <v>1</v>
      </c>
    </row>
    <row r="1990" spans="1:8" x14ac:dyDescent="0.25">
      <c r="A1990" s="1" t="str">
        <f>"20472"</f>
        <v>20472</v>
      </c>
      <c r="B1990" s="1" t="str">
        <f>"47894"</f>
        <v>47894</v>
      </c>
      <c r="C1990" s="1" t="str">
        <f>"WASHINGTON"</f>
        <v>WASHINGTON</v>
      </c>
      <c r="D1990" s="1" t="str">
        <f>"DC"</f>
        <v>DC</v>
      </c>
      <c r="E1990" s="2">
        <v>0</v>
      </c>
      <c r="F1990" s="2">
        <v>1</v>
      </c>
      <c r="G1990" s="2">
        <v>1</v>
      </c>
      <c r="H1990" s="2">
        <v>1</v>
      </c>
    </row>
    <row r="1991" spans="1:8" x14ac:dyDescent="0.25">
      <c r="A1991" s="1" t="str">
        <f>"53171"</f>
        <v>53171</v>
      </c>
      <c r="B1991" s="1" t="str">
        <f>"29404"</f>
        <v>29404</v>
      </c>
      <c r="C1991" s="1" t="str">
        <f>"SOMERS"</f>
        <v>SOMERS</v>
      </c>
      <c r="D1991" s="1" t="str">
        <f>"WI"</f>
        <v>WI</v>
      </c>
      <c r="E1991" s="2">
        <v>1</v>
      </c>
      <c r="F1991" s="2">
        <v>1</v>
      </c>
      <c r="G1991" s="2">
        <v>1</v>
      </c>
      <c r="H1991" s="2">
        <v>1</v>
      </c>
    </row>
    <row r="1992" spans="1:8" x14ac:dyDescent="0.25">
      <c r="A1992" s="1" t="str">
        <f>"02137"</f>
        <v>02137</v>
      </c>
      <c r="B1992" s="1" t="str">
        <f>"14454"</f>
        <v>14454</v>
      </c>
      <c r="C1992" s="1" t="str">
        <f>"READVILLE"</f>
        <v>READVILLE</v>
      </c>
      <c r="D1992" s="1" t="str">
        <f>"MA"</f>
        <v>MA</v>
      </c>
      <c r="E1992" s="2">
        <v>1</v>
      </c>
      <c r="F1992" s="2">
        <v>1</v>
      </c>
      <c r="G1992" s="2">
        <v>1</v>
      </c>
      <c r="H1992" s="2">
        <v>1</v>
      </c>
    </row>
    <row r="1993" spans="1:8" x14ac:dyDescent="0.25">
      <c r="A1993" s="1" t="str">
        <f>"22623"</f>
        <v>22623</v>
      </c>
      <c r="B1993" s="1" t="str">
        <f>"47894"</f>
        <v>47894</v>
      </c>
      <c r="C1993" s="1" t="str">
        <f>"CHESTER GAP"</f>
        <v>CHESTER GAP</v>
      </c>
      <c r="D1993" s="1" t="str">
        <f>"VA"</f>
        <v>VA</v>
      </c>
      <c r="E1993" s="2">
        <v>1</v>
      </c>
      <c r="F1993" s="2">
        <v>1</v>
      </c>
      <c r="G1993" s="2">
        <v>0</v>
      </c>
      <c r="H1993" s="2">
        <v>1</v>
      </c>
    </row>
    <row r="1994" spans="1:8" x14ac:dyDescent="0.25">
      <c r="A1994" s="1" t="str">
        <f>"18927"</f>
        <v>18927</v>
      </c>
      <c r="B1994" s="1" t="str">
        <f>"33874"</f>
        <v>33874</v>
      </c>
      <c r="C1994" s="1" t="str">
        <f>"HILLTOWN"</f>
        <v>HILLTOWN</v>
      </c>
      <c r="D1994" s="1" t="str">
        <f>"PA"</f>
        <v>PA</v>
      </c>
      <c r="E1994" s="2">
        <v>1</v>
      </c>
      <c r="F1994" s="2">
        <v>1</v>
      </c>
      <c r="G1994" s="2">
        <v>1</v>
      </c>
      <c r="H1994" s="2">
        <v>1</v>
      </c>
    </row>
    <row r="1995" spans="1:8" x14ac:dyDescent="0.25">
      <c r="A1995" s="1" t="str">
        <f>"20220"</f>
        <v>20220</v>
      </c>
      <c r="B1995" s="1" t="str">
        <f>"47894"</f>
        <v>47894</v>
      </c>
      <c r="C1995" s="1" t="str">
        <f>"WASHINGTON"</f>
        <v>WASHINGTON</v>
      </c>
      <c r="D1995" s="1" t="str">
        <f>"DC"</f>
        <v>DC</v>
      </c>
      <c r="E1995" s="2">
        <v>0</v>
      </c>
      <c r="F1995" s="2">
        <v>1</v>
      </c>
      <c r="G1995" s="2">
        <v>1</v>
      </c>
      <c r="H1995" s="2">
        <v>1</v>
      </c>
    </row>
    <row r="1996" spans="1:8" x14ac:dyDescent="0.25">
      <c r="A1996" s="1" t="str">
        <f>"76626"</f>
        <v>76626</v>
      </c>
      <c r="B1996" s="1" t="str">
        <f>"19124"</f>
        <v>19124</v>
      </c>
      <c r="C1996" s="1" t="str">
        <f>"BLOOMING GROVE"</f>
        <v>BLOOMING GROVE</v>
      </c>
      <c r="D1996" s="1" t="str">
        <f>"TX"</f>
        <v>TX</v>
      </c>
      <c r="E1996" s="2">
        <v>1</v>
      </c>
      <c r="F1996" s="2">
        <v>0</v>
      </c>
      <c r="G1996" s="2">
        <v>0</v>
      </c>
      <c r="H1996" s="2">
        <v>1</v>
      </c>
    </row>
    <row r="1997" spans="1:8" x14ac:dyDescent="0.25">
      <c r="A1997" s="1" t="str">
        <f>"53192"</f>
        <v>53192</v>
      </c>
      <c r="B1997" s="1" t="str">
        <f>"29404"</f>
        <v>29404</v>
      </c>
      <c r="C1997" s="1" t="str">
        <f>"WILMOT"</f>
        <v>WILMOT</v>
      </c>
      <c r="D1997" s="1" t="str">
        <f>"WI"</f>
        <v>WI</v>
      </c>
      <c r="E1997" s="2">
        <v>1</v>
      </c>
      <c r="F1997" s="2">
        <v>1</v>
      </c>
      <c r="G1997" s="2">
        <v>1</v>
      </c>
      <c r="H1997" s="2">
        <v>1</v>
      </c>
    </row>
    <row r="1998" spans="1:8" x14ac:dyDescent="0.25">
      <c r="A1998" s="1" t="str">
        <f>"22973"</f>
        <v>22973</v>
      </c>
      <c r="B1998" s="1" t="str">
        <f>"47894"</f>
        <v>47894</v>
      </c>
      <c r="C1998" s="1" t="str">
        <f>"STANARDSVILLE"</f>
        <v>STANARDSVILLE</v>
      </c>
      <c r="D1998" s="1" t="str">
        <f>"VA"</f>
        <v>VA</v>
      </c>
      <c r="E1998" s="2">
        <v>1</v>
      </c>
      <c r="F1998" s="2">
        <v>0</v>
      </c>
      <c r="G1998" s="2">
        <v>0</v>
      </c>
      <c r="H1998" s="2">
        <v>1</v>
      </c>
    </row>
    <row r="1999" spans="1:8" x14ac:dyDescent="0.25">
      <c r="A1999" s="1" t="str">
        <f>"20790"</f>
        <v>20790</v>
      </c>
      <c r="B1999" s="1" t="str">
        <f>"47894"</f>
        <v>47894</v>
      </c>
      <c r="C1999" s="1" t="str">
        <f>"CAPITOL HEIGHTS"</f>
        <v>CAPITOL HEIGHTS</v>
      </c>
      <c r="D1999" s="1" t="str">
        <f>"MD"</f>
        <v>MD</v>
      </c>
      <c r="E1999" s="2">
        <v>0</v>
      </c>
      <c r="F1999" s="2">
        <v>1</v>
      </c>
      <c r="G1999" s="2">
        <v>1</v>
      </c>
      <c r="H1999" s="2">
        <v>1</v>
      </c>
    </row>
    <row r="2000" spans="1:8" x14ac:dyDescent="0.25">
      <c r="A2000" s="1" t="str">
        <f>"33348"</f>
        <v>33348</v>
      </c>
      <c r="B2000" s="1" t="str">
        <f>"22744"</f>
        <v>22744</v>
      </c>
      <c r="C2000" s="1" t="str">
        <f>"FORT LAUDERDALE"</f>
        <v>FORT LAUDERDALE</v>
      </c>
      <c r="D2000" s="1" t="str">
        <f>"FL"</f>
        <v>FL</v>
      </c>
      <c r="E2000" s="2">
        <v>1</v>
      </c>
      <c r="F2000" s="2">
        <v>1</v>
      </c>
      <c r="G2000" s="2">
        <v>1</v>
      </c>
      <c r="H2000" s="2">
        <v>1</v>
      </c>
    </row>
    <row r="2001" spans="1:8" x14ac:dyDescent="0.25">
      <c r="A2001" s="1" t="str">
        <f>"98025"</f>
        <v>98025</v>
      </c>
      <c r="B2001" s="1" t="str">
        <f>"42644"</f>
        <v>42644</v>
      </c>
      <c r="C2001" s="1" t="str">
        <f>"HOBART"</f>
        <v>HOBART</v>
      </c>
      <c r="D2001" s="1" t="str">
        <f>"WA"</f>
        <v>WA</v>
      </c>
      <c r="E2001" s="2">
        <v>1</v>
      </c>
      <c r="F2001" s="2">
        <v>1</v>
      </c>
      <c r="G2001" s="2">
        <v>1</v>
      </c>
      <c r="H2001" s="2">
        <v>1</v>
      </c>
    </row>
    <row r="2002" spans="1:8" x14ac:dyDescent="0.25">
      <c r="A2002" s="1" t="str">
        <f>"20436"</f>
        <v>20436</v>
      </c>
      <c r="B2002" s="1" t="str">
        <f>"47894"</f>
        <v>47894</v>
      </c>
      <c r="C2002" s="1" t="str">
        <f>"WASHINGTON"</f>
        <v>WASHINGTON</v>
      </c>
      <c r="D2002" s="1" t="str">
        <f>"DC"</f>
        <v>DC</v>
      </c>
      <c r="E2002" s="2">
        <v>0</v>
      </c>
      <c r="F2002" s="2">
        <v>1</v>
      </c>
      <c r="G2002" s="2">
        <v>0</v>
      </c>
      <c r="H2002" s="2">
        <v>1</v>
      </c>
    </row>
    <row r="2003" spans="1:8" x14ac:dyDescent="0.25">
      <c r="A2003" s="1" t="str">
        <f>"90263"</f>
        <v>90263</v>
      </c>
      <c r="B2003" s="1" t="str">
        <f>"31084"</f>
        <v>31084</v>
      </c>
      <c r="C2003" s="1" t="str">
        <f>"MALIBU"</f>
        <v>MALIBU</v>
      </c>
      <c r="D2003" s="1" t="str">
        <f>"CA"</f>
        <v>CA</v>
      </c>
      <c r="E2003" s="2">
        <v>0</v>
      </c>
      <c r="F2003" s="2">
        <v>1</v>
      </c>
      <c r="G2003" s="2">
        <v>1</v>
      </c>
      <c r="H2003" s="2">
        <v>1</v>
      </c>
    </row>
    <row r="2004" spans="1:8" x14ac:dyDescent="0.25">
      <c r="A2004" s="1" t="str">
        <f>"11965"</f>
        <v>11965</v>
      </c>
      <c r="B2004" s="1" t="str">
        <f>"35004"</f>
        <v>35004</v>
      </c>
      <c r="C2004" s="1" t="str">
        <f>"SHELTER ISLAND HEIGHTS"</f>
        <v>SHELTER ISLAND HEIGHTS</v>
      </c>
      <c r="D2004" s="1" t="str">
        <f>"NY"</f>
        <v>NY</v>
      </c>
      <c r="E2004" s="2">
        <v>1</v>
      </c>
      <c r="F2004" s="2">
        <v>1</v>
      </c>
      <c r="G2004" s="2">
        <v>1</v>
      </c>
      <c r="H2004" s="2">
        <v>1</v>
      </c>
    </row>
    <row r="2005" spans="1:8" x14ac:dyDescent="0.25">
      <c r="A2005" s="1" t="str">
        <f>"20101"</f>
        <v>20101</v>
      </c>
      <c r="B2005" s="1" t="str">
        <f>"47894"</f>
        <v>47894</v>
      </c>
      <c r="C2005" s="1" t="str">
        <f>"DULLES"</f>
        <v>DULLES</v>
      </c>
      <c r="D2005" s="1" t="str">
        <f>"VA"</f>
        <v>VA</v>
      </c>
      <c r="E2005" s="2">
        <v>0</v>
      </c>
      <c r="F2005" s="2">
        <v>1</v>
      </c>
      <c r="G2005" s="2">
        <v>1</v>
      </c>
      <c r="H2005" s="2">
        <v>1</v>
      </c>
    </row>
    <row r="2006" spans="1:8" x14ac:dyDescent="0.25">
      <c r="A2006" s="1" t="str">
        <f>"19351"</f>
        <v>19351</v>
      </c>
      <c r="B2006" s="1" t="str">
        <f>"33874"</f>
        <v>33874</v>
      </c>
      <c r="C2006" s="1" t="str">
        <f>"LEWISVILLE"</f>
        <v>LEWISVILLE</v>
      </c>
      <c r="D2006" s="1" t="str">
        <f>"PA"</f>
        <v>PA</v>
      </c>
      <c r="E2006" s="2">
        <v>0</v>
      </c>
      <c r="F2006" s="2">
        <v>1</v>
      </c>
      <c r="G2006" s="2">
        <v>0</v>
      </c>
      <c r="H2006" s="2">
        <v>1</v>
      </c>
    </row>
    <row r="2007" spans="1:8" x14ac:dyDescent="0.25">
      <c r="A2007" s="1" t="str">
        <f>"20441"</f>
        <v>20441</v>
      </c>
      <c r="B2007" s="1" t="str">
        <f>"47894"</f>
        <v>47894</v>
      </c>
      <c r="C2007" s="1" t="str">
        <f>"WASHINGTON"</f>
        <v>WASHINGTON</v>
      </c>
      <c r="D2007" s="1" t="str">
        <f>"DC"</f>
        <v>DC</v>
      </c>
      <c r="E2007" s="2">
        <v>0</v>
      </c>
      <c r="F2007" s="2">
        <v>1</v>
      </c>
      <c r="G2007" s="2">
        <v>0</v>
      </c>
      <c r="H2007" s="2">
        <v>1</v>
      </c>
    </row>
    <row r="2008" spans="1:8" x14ac:dyDescent="0.25">
      <c r="A2008" s="1" t="str">
        <f>"60669"</f>
        <v>60669</v>
      </c>
      <c r="B2008" s="1" t="str">
        <f>"16984"</f>
        <v>16984</v>
      </c>
      <c r="C2008" s="1" t="str">
        <f>"CHICAGO"</f>
        <v>CHICAGO</v>
      </c>
      <c r="D2008" s="1" t="str">
        <f>"IL"</f>
        <v>IL</v>
      </c>
      <c r="E2008" s="2">
        <v>0</v>
      </c>
      <c r="F2008" s="2">
        <v>1</v>
      </c>
      <c r="G2008" s="2">
        <v>1</v>
      </c>
      <c r="H2008" s="2">
        <v>1</v>
      </c>
    </row>
    <row r="2009" spans="1:8" x14ac:dyDescent="0.25">
      <c r="A2009" s="1" t="str">
        <f>"20555"</f>
        <v>20555</v>
      </c>
      <c r="B2009" s="1" t="str">
        <f>"47894"</f>
        <v>47894</v>
      </c>
      <c r="C2009" s="1" t="str">
        <f>"WASHINGTON"</f>
        <v>WASHINGTON</v>
      </c>
      <c r="D2009" s="1" t="str">
        <f>"DC"</f>
        <v>DC</v>
      </c>
      <c r="E2009" s="2">
        <v>0</v>
      </c>
      <c r="F2009" s="2">
        <v>1</v>
      </c>
      <c r="G2009" s="2">
        <v>0</v>
      </c>
      <c r="H2009" s="2">
        <v>1</v>
      </c>
    </row>
    <row r="2010" spans="1:8" x14ac:dyDescent="0.25">
      <c r="A2010" s="1" t="str">
        <f>"10126"</f>
        <v>10126</v>
      </c>
      <c r="B2010" s="1" t="str">
        <f>"35614"</f>
        <v>35614</v>
      </c>
      <c r="C2010" s="1" t="str">
        <f>"NEW YORK"</f>
        <v>NEW YORK</v>
      </c>
      <c r="D2010" s="1" t="str">
        <f>"NY"</f>
        <v>NY</v>
      </c>
      <c r="E2010" s="2">
        <v>0</v>
      </c>
      <c r="F2010" s="2">
        <v>0</v>
      </c>
      <c r="G2010" s="2">
        <v>1</v>
      </c>
      <c r="H2010" s="2">
        <v>1</v>
      </c>
    </row>
    <row r="2011" spans="1:8" x14ac:dyDescent="0.25">
      <c r="A2011" s="1" t="str">
        <f>"20303"</f>
        <v>20303</v>
      </c>
      <c r="B2011" s="1" t="str">
        <f>"47894"</f>
        <v>47894</v>
      </c>
      <c r="C2011" s="1" t="str">
        <f>"WASHINGTON"</f>
        <v>WASHINGTON</v>
      </c>
      <c r="D2011" s="1" t="str">
        <f>"DC"</f>
        <v>DC</v>
      </c>
      <c r="E2011" s="2">
        <v>0</v>
      </c>
      <c r="F2011" s="2">
        <v>1</v>
      </c>
      <c r="G2011" s="2">
        <v>0</v>
      </c>
      <c r="H2011" s="2">
        <v>1</v>
      </c>
    </row>
    <row r="2012" spans="1:8" x14ac:dyDescent="0.25">
      <c r="A2012" s="1" t="str">
        <f>"20370"</f>
        <v>20370</v>
      </c>
      <c r="B2012" s="1" t="str">
        <f>"47894"</f>
        <v>47894</v>
      </c>
      <c r="C2012" s="1" t="str">
        <f>"WASHINGTON"</f>
        <v>WASHINGTON</v>
      </c>
      <c r="D2012" s="1" t="str">
        <f>"DC"</f>
        <v>DC</v>
      </c>
      <c r="E2012" s="2">
        <v>0</v>
      </c>
      <c r="F2012" s="2">
        <v>1</v>
      </c>
      <c r="G2012" s="2">
        <v>0</v>
      </c>
      <c r="H2012" s="2">
        <v>1</v>
      </c>
    </row>
    <row r="2013" spans="1:8" x14ac:dyDescent="0.25">
      <c r="A2013" s="1" t="str">
        <f>"90833"</f>
        <v>90833</v>
      </c>
      <c r="B2013" s="1" t="str">
        <f>"31084"</f>
        <v>31084</v>
      </c>
      <c r="C2013" s="1" t="str">
        <f>"LONG BEACH"</f>
        <v>LONG BEACH</v>
      </c>
      <c r="D2013" s="1" t="str">
        <f>"CA"</f>
        <v>CA</v>
      </c>
      <c r="E2013" s="2">
        <v>0</v>
      </c>
      <c r="F2013" s="2">
        <v>1</v>
      </c>
      <c r="G2013" s="2">
        <v>1</v>
      </c>
      <c r="H2013" s="2">
        <v>1</v>
      </c>
    </row>
    <row r="2014" spans="1:8" x14ac:dyDescent="0.25">
      <c r="A2014" s="1" t="str">
        <f>"20340"</f>
        <v>20340</v>
      </c>
      <c r="B2014" s="1" t="str">
        <f>"47894"</f>
        <v>47894</v>
      </c>
      <c r="C2014" s="1" t="str">
        <f>"WASHINGTON"</f>
        <v>WASHINGTON</v>
      </c>
      <c r="D2014" s="1" t="str">
        <f>"DC"</f>
        <v>DC</v>
      </c>
      <c r="E2014" s="2">
        <v>0</v>
      </c>
      <c r="F2014" s="2">
        <v>1</v>
      </c>
      <c r="G2014" s="2">
        <v>0</v>
      </c>
      <c r="H2014" s="2">
        <v>1</v>
      </c>
    </row>
    <row r="2015" spans="1:8" x14ac:dyDescent="0.25">
      <c r="A2015" s="1" t="str">
        <f>"90639"</f>
        <v>90639</v>
      </c>
      <c r="B2015" s="1" t="str">
        <f>"31084"</f>
        <v>31084</v>
      </c>
      <c r="C2015" s="1" t="str">
        <f>"LA MIRADA"</f>
        <v>LA MIRADA</v>
      </c>
      <c r="D2015" s="1" t="str">
        <f>"CA"</f>
        <v>CA</v>
      </c>
      <c r="E2015" s="2">
        <v>0</v>
      </c>
      <c r="F2015" s="2">
        <v>1</v>
      </c>
      <c r="G2015" s="2">
        <v>0</v>
      </c>
      <c r="H2015" s="2">
        <v>1</v>
      </c>
    </row>
    <row r="2016" spans="1:8" x14ac:dyDescent="0.25">
      <c r="A2016" s="1" t="str">
        <f>"00501"</f>
        <v>00501</v>
      </c>
      <c r="B2016" s="1" t="str">
        <f>"35004"</f>
        <v>35004</v>
      </c>
      <c r="C2016" s="1" t="str">
        <f>"HOLTSVILLE"</f>
        <v>HOLTSVILLE</v>
      </c>
      <c r="D2016" s="1" t="str">
        <f>"NY"</f>
        <v>NY</v>
      </c>
      <c r="E2016" s="2">
        <v>0</v>
      </c>
      <c r="F2016" s="2">
        <v>1</v>
      </c>
      <c r="G2016" s="2">
        <v>0</v>
      </c>
      <c r="H2016" s="2">
        <v>1</v>
      </c>
    </row>
    <row r="2017" spans="1:8" x14ac:dyDescent="0.25">
      <c r="A2017" s="1" t="str">
        <f>"18979"</f>
        <v>18979</v>
      </c>
      <c r="B2017" s="1" t="str">
        <f>"33874"</f>
        <v>33874</v>
      </c>
      <c r="C2017" s="1" t="str">
        <f>"WOXALL"</f>
        <v>WOXALL</v>
      </c>
      <c r="D2017" s="1" t="str">
        <f>"PA"</f>
        <v>PA</v>
      </c>
      <c r="E2017" s="2">
        <v>0</v>
      </c>
      <c r="F2017" s="2">
        <v>0</v>
      </c>
      <c r="G2017" s="2">
        <v>1</v>
      </c>
      <c r="H2017" s="2">
        <v>1</v>
      </c>
    </row>
    <row r="2018" spans="1:8" x14ac:dyDescent="0.25">
      <c r="A2018" s="1" t="str">
        <f>"19432"</f>
        <v>19432</v>
      </c>
      <c r="B2018" s="1" t="str">
        <f>"33874"</f>
        <v>33874</v>
      </c>
      <c r="C2018" s="1" t="str">
        <f>"DEVAULT"</f>
        <v>DEVAULT</v>
      </c>
      <c r="D2018" s="1" t="str">
        <f>"PA"</f>
        <v>PA</v>
      </c>
      <c r="E2018" s="2">
        <v>0</v>
      </c>
      <c r="F2018" s="2">
        <v>1</v>
      </c>
      <c r="G2018" s="2">
        <v>0</v>
      </c>
      <c r="H2018" s="2">
        <v>1</v>
      </c>
    </row>
    <row r="2019" spans="1:8" x14ac:dyDescent="0.25">
      <c r="A2019" s="1" t="str">
        <f>"20413"</f>
        <v>20413</v>
      </c>
      <c r="B2019" s="1" t="str">
        <f>"47894"</f>
        <v>47894</v>
      </c>
      <c r="C2019" s="1" t="str">
        <f>"WASHINGTON"</f>
        <v>WASHINGTON</v>
      </c>
      <c r="D2019" s="1" t="str">
        <f>"DC"</f>
        <v>DC</v>
      </c>
      <c r="E2019" s="2">
        <v>0</v>
      </c>
      <c r="F2019" s="2">
        <v>1</v>
      </c>
      <c r="G2019" s="2">
        <v>0</v>
      </c>
      <c r="H2019" s="2">
        <v>1</v>
      </c>
    </row>
    <row r="2020" spans="1:8" x14ac:dyDescent="0.25">
      <c r="A2020" s="1" t="str">
        <f>"01801"</f>
        <v>01801</v>
      </c>
      <c r="B2020" s="1" t="str">
        <f t="shared" ref="B2020:B2025" si="140">"15764"</f>
        <v>15764</v>
      </c>
      <c r="C2020" s="1" t="str">
        <f>"WOBURN"</f>
        <v>WOBURN</v>
      </c>
      <c r="D2020" s="1" t="str">
        <f t="shared" ref="D2020:D2029" si="141">"MA"</f>
        <v>MA</v>
      </c>
      <c r="E2020" s="2">
        <v>1</v>
      </c>
      <c r="F2020" s="2">
        <v>1</v>
      </c>
      <c r="G2020" s="2">
        <v>1</v>
      </c>
      <c r="H2020" s="2">
        <v>1</v>
      </c>
    </row>
    <row r="2021" spans="1:8" x14ac:dyDescent="0.25">
      <c r="A2021" s="1" t="str">
        <f>"01845"</f>
        <v>01845</v>
      </c>
      <c r="B2021" s="1" t="str">
        <f t="shared" si="140"/>
        <v>15764</v>
      </c>
      <c r="C2021" s="1" t="str">
        <f>"NORTH ANDOVER"</f>
        <v>NORTH ANDOVER</v>
      </c>
      <c r="D2021" s="1" t="str">
        <f t="shared" si="141"/>
        <v>MA</v>
      </c>
      <c r="E2021" s="2">
        <v>1</v>
      </c>
      <c r="F2021" s="2">
        <v>1</v>
      </c>
      <c r="G2021" s="2">
        <v>1</v>
      </c>
      <c r="H2021" s="2">
        <v>1</v>
      </c>
    </row>
    <row r="2022" spans="1:8" x14ac:dyDescent="0.25">
      <c r="A2022" s="1" t="str">
        <f>"01860"</f>
        <v>01860</v>
      </c>
      <c r="B2022" s="1" t="str">
        <f t="shared" si="140"/>
        <v>15764</v>
      </c>
      <c r="C2022" s="1" t="str">
        <f>"MERRIMAC"</f>
        <v>MERRIMAC</v>
      </c>
      <c r="D2022" s="1" t="str">
        <f t="shared" si="141"/>
        <v>MA</v>
      </c>
      <c r="E2022" s="2">
        <v>1</v>
      </c>
      <c r="F2022" s="2">
        <v>1</v>
      </c>
      <c r="G2022" s="2">
        <v>1</v>
      </c>
      <c r="H2022" s="2">
        <v>1</v>
      </c>
    </row>
    <row r="2023" spans="1:8" x14ac:dyDescent="0.25">
      <c r="A2023" s="1" t="str">
        <f>"01867"</f>
        <v>01867</v>
      </c>
      <c r="B2023" s="1" t="str">
        <f t="shared" si="140"/>
        <v>15764</v>
      </c>
      <c r="C2023" s="1" t="str">
        <f>"READING"</f>
        <v>READING</v>
      </c>
      <c r="D2023" s="1" t="str">
        <f t="shared" si="141"/>
        <v>MA</v>
      </c>
      <c r="E2023" s="2">
        <v>1</v>
      </c>
      <c r="F2023" s="2">
        <v>1</v>
      </c>
      <c r="G2023" s="2">
        <v>1</v>
      </c>
      <c r="H2023" s="2">
        <v>1</v>
      </c>
    </row>
    <row r="2024" spans="1:8" x14ac:dyDescent="0.25">
      <c r="A2024" s="1" t="str">
        <f>"01922"</f>
        <v>01922</v>
      </c>
      <c r="B2024" s="1" t="str">
        <f t="shared" si="140"/>
        <v>15764</v>
      </c>
      <c r="C2024" s="1" t="str">
        <f>"BYFIELD"</f>
        <v>BYFIELD</v>
      </c>
      <c r="D2024" s="1" t="str">
        <f t="shared" si="141"/>
        <v>MA</v>
      </c>
      <c r="E2024" s="2">
        <v>1</v>
      </c>
      <c r="F2024" s="2">
        <v>1</v>
      </c>
      <c r="G2024" s="2">
        <v>1</v>
      </c>
      <c r="H2024" s="2">
        <v>1</v>
      </c>
    </row>
    <row r="2025" spans="1:8" x14ac:dyDescent="0.25">
      <c r="A2025" s="1" t="str">
        <f>"01945"</f>
        <v>01945</v>
      </c>
      <c r="B2025" s="1" t="str">
        <f t="shared" si="140"/>
        <v>15764</v>
      </c>
      <c r="C2025" s="1" t="str">
        <f>"MARBLEHEAD"</f>
        <v>MARBLEHEAD</v>
      </c>
      <c r="D2025" s="1" t="str">
        <f t="shared" si="141"/>
        <v>MA</v>
      </c>
      <c r="E2025" s="2">
        <v>1</v>
      </c>
      <c r="F2025" s="2">
        <v>1</v>
      </c>
      <c r="G2025" s="2">
        <v>1</v>
      </c>
      <c r="H2025" s="2">
        <v>1</v>
      </c>
    </row>
    <row r="2026" spans="1:8" x14ac:dyDescent="0.25">
      <c r="A2026" s="1" t="str">
        <f>"02126"</f>
        <v>02126</v>
      </c>
      <c r="B2026" s="1" t="str">
        <f>"14454"</f>
        <v>14454</v>
      </c>
      <c r="C2026" s="1" t="str">
        <f>"MATTAPAN"</f>
        <v>MATTAPAN</v>
      </c>
      <c r="D2026" s="1" t="str">
        <f t="shared" si="141"/>
        <v>MA</v>
      </c>
      <c r="E2026" s="2">
        <v>1</v>
      </c>
      <c r="F2026" s="2">
        <v>1</v>
      </c>
      <c r="G2026" s="2">
        <v>1</v>
      </c>
      <c r="H2026" s="2">
        <v>1</v>
      </c>
    </row>
    <row r="2027" spans="1:8" x14ac:dyDescent="0.25">
      <c r="A2027" s="1" t="str">
        <f>"02129"</f>
        <v>02129</v>
      </c>
      <c r="B2027" s="1" t="str">
        <f>"14454"</f>
        <v>14454</v>
      </c>
      <c r="C2027" s="1" t="str">
        <f>"CHARLESTOWN"</f>
        <v>CHARLESTOWN</v>
      </c>
      <c r="D2027" s="1" t="str">
        <f t="shared" si="141"/>
        <v>MA</v>
      </c>
      <c r="E2027" s="2">
        <v>1</v>
      </c>
      <c r="F2027" s="2">
        <v>1</v>
      </c>
      <c r="G2027" s="2">
        <v>1</v>
      </c>
      <c r="H2027" s="2">
        <v>1</v>
      </c>
    </row>
    <row r="2028" spans="1:8" x14ac:dyDescent="0.25">
      <c r="A2028" s="1" t="str">
        <f>"02368"</f>
        <v>02368</v>
      </c>
      <c r="B2028" s="1" t="str">
        <f>"14454"</f>
        <v>14454</v>
      </c>
      <c r="C2028" s="1" t="str">
        <f>"RANDOLPH"</f>
        <v>RANDOLPH</v>
      </c>
      <c r="D2028" s="1" t="str">
        <f t="shared" si="141"/>
        <v>MA</v>
      </c>
      <c r="E2028" s="2">
        <v>1</v>
      </c>
      <c r="F2028" s="2">
        <v>1</v>
      </c>
      <c r="G2028" s="2">
        <v>1</v>
      </c>
      <c r="H2028" s="2">
        <v>1</v>
      </c>
    </row>
    <row r="2029" spans="1:8" x14ac:dyDescent="0.25">
      <c r="A2029" s="1" t="str">
        <f>"02466"</f>
        <v>02466</v>
      </c>
      <c r="B2029" s="1" t="str">
        <f>"15764"</f>
        <v>15764</v>
      </c>
      <c r="C2029" s="1" t="str">
        <f>"AUBURNDALE"</f>
        <v>AUBURNDALE</v>
      </c>
      <c r="D2029" s="1" t="str">
        <f t="shared" si="141"/>
        <v>MA</v>
      </c>
      <c r="E2029" s="2">
        <v>1</v>
      </c>
      <c r="F2029" s="2">
        <v>1</v>
      </c>
      <c r="G2029" s="2">
        <v>1</v>
      </c>
      <c r="H2029" s="2">
        <v>1</v>
      </c>
    </row>
    <row r="2030" spans="1:8" x14ac:dyDescent="0.25">
      <c r="A2030" s="1" t="str">
        <f>"03835"</f>
        <v>03835</v>
      </c>
      <c r="B2030" s="1" t="str">
        <f>"40484"</f>
        <v>40484</v>
      </c>
      <c r="C2030" s="1" t="str">
        <f>"FARMINGTON"</f>
        <v>FARMINGTON</v>
      </c>
      <c r="D2030" s="1" t="str">
        <f>"NH"</f>
        <v>NH</v>
      </c>
      <c r="E2030" s="2">
        <v>1</v>
      </c>
      <c r="F2030" s="2">
        <v>1</v>
      </c>
      <c r="G2030" s="2">
        <v>1</v>
      </c>
      <c r="H2030" s="2">
        <v>1</v>
      </c>
    </row>
    <row r="2031" spans="1:8" x14ac:dyDescent="0.25">
      <c r="A2031" s="1" t="str">
        <f>"07036"</f>
        <v>07036</v>
      </c>
      <c r="B2031" s="1" t="str">
        <f>"35084"</f>
        <v>35084</v>
      </c>
      <c r="C2031" s="1" t="str">
        <f>"LINDEN"</f>
        <v>LINDEN</v>
      </c>
      <c r="D2031" s="1" t="str">
        <f t="shared" ref="D2031:D2045" si="142">"NJ"</f>
        <v>NJ</v>
      </c>
      <c r="E2031" s="2">
        <v>1</v>
      </c>
      <c r="F2031" s="2">
        <v>1</v>
      </c>
      <c r="G2031" s="2">
        <v>1</v>
      </c>
      <c r="H2031" s="2">
        <v>1</v>
      </c>
    </row>
    <row r="2032" spans="1:8" x14ac:dyDescent="0.25">
      <c r="A2032" s="1" t="str">
        <f>"07086"</f>
        <v>07086</v>
      </c>
      <c r="B2032" s="1" t="str">
        <f>"35614"</f>
        <v>35614</v>
      </c>
      <c r="C2032" s="1" t="str">
        <f>"WEEHAWKEN"</f>
        <v>WEEHAWKEN</v>
      </c>
      <c r="D2032" s="1" t="str">
        <f t="shared" si="142"/>
        <v>NJ</v>
      </c>
      <c r="E2032" s="2">
        <v>1</v>
      </c>
      <c r="F2032" s="2">
        <v>1</v>
      </c>
      <c r="G2032" s="2">
        <v>1</v>
      </c>
      <c r="H2032" s="2">
        <v>1</v>
      </c>
    </row>
    <row r="2033" spans="1:8" x14ac:dyDescent="0.25">
      <c r="A2033" s="1" t="str">
        <f>"07090"</f>
        <v>07090</v>
      </c>
      <c r="B2033" s="1" t="str">
        <f>"35084"</f>
        <v>35084</v>
      </c>
      <c r="C2033" s="1" t="str">
        <f>"WESTFIELD"</f>
        <v>WESTFIELD</v>
      </c>
      <c r="D2033" s="1" t="str">
        <f t="shared" si="142"/>
        <v>NJ</v>
      </c>
      <c r="E2033" s="2">
        <v>1</v>
      </c>
      <c r="F2033" s="2">
        <v>1</v>
      </c>
      <c r="G2033" s="2">
        <v>1</v>
      </c>
      <c r="H2033" s="2">
        <v>1</v>
      </c>
    </row>
    <row r="2034" spans="1:8" x14ac:dyDescent="0.25">
      <c r="A2034" s="1" t="str">
        <f>"07419"</f>
        <v>07419</v>
      </c>
      <c r="B2034" s="1" t="str">
        <f>"35084"</f>
        <v>35084</v>
      </c>
      <c r="C2034" s="1" t="str">
        <f>"HAMBURG"</f>
        <v>HAMBURG</v>
      </c>
      <c r="D2034" s="1" t="str">
        <f t="shared" si="142"/>
        <v>NJ</v>
      </c>
      <c r="E2034" s="2">
        <v>1</v>
      </c>
      <c r="F2034" s="2">
        <v>1</v>
      </c>
      <c r="G2034" s="2">
        <v>1</v>
      </c>
      <c r="H2034" s="2">
        <v>1</v>
      </c>
    </row>
    <row r="2035" spans="1:8" x14ac:dyDescent="0.25">
      <c r="A2035" s="1" t="str">
        <f>"07508"</f>
        <v>07508</v>
      </c>
      <c r="B2035" s="1" t="str">
        <f>"35614"</f>
        <v>35614</v>
      </c>
      <c r="C2035" s="1" t="str">
        <f>"HALEDON"</f>
        <v>HALEDON</v>
      </c>
      <c r="D2035" s="1" t="str">
        <f t="shared" si="142"/>
        <v>NJ</v>
      </c>
      <c r="E2035" s="2">
        <v>1</v>
      </c>
      <c r="F2035" s="2">
        <v>1</v>
      </c>
      <c r="G2035" s="2">
        <v>1</v>
      </c>
      <c r="H2035" s="2">
        <v>1</v>
      </c>
    </row>
    <row r="2036" spans="1:8" x14ac:dyDescent="0.25">
      <c r="A2036" s="1" t="str">
        <f>"07628"</f>
        <v>07628</v>
      </c>
      <c r="B2036" s="1" t="str">
        <f>"35614"</f>
        <v>35614</v>
      </c>
      <c r="C2036" s="1" t="str">
        <f>"DUMONT"</f>
        <v>DUMONT</v>
      </c>
      <c r="D2036" s="1" t="str">
        <f t="shared" si="142"/>
        <v>NJ</v>
      </c>
      <c r="E2036" s="2">
        <v>1</v>
      </c>
      <c r="F2036" s="2">
        <v>1</v>
      </c>
      <c r="G2036" s="2">
        <v>1</v>
      </c>
      <c r="H2036" s="2">
        <v>1</v>
      </c>
    </row>
    <row r="2037" spans="1:8" x14ac:dyDescent="0.25">
      <c r="A2037" s="1" t="str">
        <f>"07842"</f>
        <v>07842</v>
      </c>
      <c r="B2037" s="1" t="str">
        <f>"35084"</f>
        <v>35084</v>
      </c>
      <c r="C2037" s="1" t="str">
        <f>"HIBERNIA"</f>
        <v>HIBERNIA</v>
      </c>
      <c r="D2037" s="1" t="str">
        <f t="shared" si="142"/>
        <v>NJ</v>
      </c>
      <c r="E2037" s="2">
        <v>1</v>
      </c>
      <c r="F2037" s="2">
        <v>1</v>
      </c>
      <c r="G2037" s="2">
        <v>1</v>
      </c>
      <c r="H2037" s="2">
        <v>1</v>
      </c>
    </row>
    <row r="2038" spans="1:8" x14ac:dyDescent="0.25">
      <c r="A2038" s="1" t="str">
        <f>"08048"</f>
        <v>08048</v>
      </c>
      <c r="B2038" s="1" t="str">
        <f>"15804"</f>
        <v>15804</v>
      </c>
      <c r="C2038" s="1" t="str">
        <f>"LUMBERTON"</f>
        <v>LUMBERTON</v>
      </c>
      <c r="D2038" s="1" t="str">
        <f t="shared" si="142"/>
        <v>NJ</v>
      </c>
      <c r="E2038" s="2">
        <v>1</v>
      </c>
      <c r="F2038" s="2">
        <v>1</v>
      </c>
      <c r="G2038" s="2">
        <v>1</v>
      </c>
      <c r="H2038" s="2">
        <v>1</v>
      </c>
    </row>
    <row r="2039" spans="1:8" x14ac:dyDescent="0.25">
      <c r="A2039" s="1" t="str">
        <f>"08089"</f>
        <v>08089</v>
      </c>
      <c r="B2039" s="1" t="str">
        <f>"15804"</f>
        <v>15804</v>
      </c>
      <c r="C2039" s="1" t="str">
        <f>"WATERFORD WORKS"</f>
        <v>WATERFORD WORKS</v>
      </c>
      <c r="D2039" s="1" t="str">
        <f t="shared" si="142"/>
        <v>NJ</v>
      </c>
      <c r="E2039" s="2">
        <v>1</v>
      </c>
      <c r="F2039" s="2">
        <v>1</v>
      </c>
      <c r="G2039" s="2">
        <v>1</v>
      </c>
      <c r="H2039" s="2">
        <v>1</v>
      </c>
    </row>
    <row r="2040" spans="1:8" x14ac:dyDescent="0.25">
      <c r="A2040" s="1" t="str">
        <f>"08215"</f>
        <v>08215</v>
      </c>
      <c r="B2040" s="1" t="str">
        <f>"15804"</f>
        <v>15804</v>
      </c>
      <c r="C2040" s="1" t="str">
        <f>"EGG HARBOR CITY"</f>
        <v>EGG HARBOR CITY</v>
      </c>
      <c r="D2040" s="1" t="str">
        <f t="shared" si="142"/>
        <v>NJ</v>
      </c>
      <c r="E2040" s="2">
        <v>1</v>
      </c>
      <c r="F2040" s="2">
        <v>1</v>
      </c>
      <c r="G2040" s="2">
        <v>1</v>
      </c>
      <c r="H2040" s="2">
        <v>1</v>
      </c>
    </row>
    <row r="2041" spans="1:8" x14ac:dyDescent="0.25">
      <c r="A2041" s="1" t="str">
        <f>"08092"</f>
        <v>08092</v>
      </c>
      <c r="B2041" s="1" t="str">
        <f>"35154"</f>
        <v>35154</v>
      </c>
      <c r="C2041" s="1" t="str">
        <f>"WEST CREEK"</f>
        <v>WEST CREEK</v>
      </c>
      <c r="D2041" s="1" t="str">
        <f t="shared" si="142"/>
        <v>NJ</v>
      </c>
      <c r="E2041" s="2">
        <v>1</v>
      </c>
      <c r="F2041" s="2">
        <v>1</v>
      </c>
      <c r="G2041" s="2">
        <v>1</v>
      </c>
      <c r="H2041" s="2">
        <v>1</v>
      </c>
    </row>
    <row r="2042" spans="1:8" x14ac:dyDescent="0.25">
      <c r="A2042" s="1" t="str">
        <f>"08108"</f>
        <v>08108</v>
      </c>
      <c r="B2042" s="1" t="str">
        <f>"15804"</f>
        <v>15804</v>
      </c>
      <c r="C2042" s="1" t="str">
        <f>"COLLINGSWOOD"</f>
        <v>COLLINGSWOOD</v>
      </c>
      <c r="D2042" s="1" t="str">
        <f t="shared" si="142"/>
        <v>NJ</v>
      </c>
      <c r="E2042" s="2">
        <v>1</v>
      </c>
      <c r="F2042" s="2">
        <v>1</v>
      </c>
      <c r="G2042" s="2">
        <v>1</v>
      </c>
      <c r="H2042" s="2">
        <v>1</v>
      </c>
    </row>
    <row r="2043" spans="1:8" x14ac:dyDescent="0.25">
      <c r="A2043" s="1" t="str">
        <f>"08738"</f>
        <v>08738</v>
      </c>
      <c r="B2043" s="1" t="str">
        <f>"35154"</f>
        <v>35154</v>
      </c>
      <c r="C2043" s="1" t="str">
        <f>"MANTOLOKING"</f>
        <v>MANTOLOKING</v>
      </c>
      <c r="D2043" s="1" t="str">
        <f t="shared" si="142"/>
        <v>NJ</v>
      </c>
      <c r="E2043" s="2">
        <v>1</v>
      </c>
      <c r="F2043" s="2">
        <v>1</v>
      </c>
      <c r="G2043" s="2">
        <v>1</v>
      </c>
      <c r="H2043" s="2">
        <v>1</v>
      </c>
    </row>
    <row r="2044" spans="1:8" x14ac:dyDescent="0.25">
      <c r="A2044" s="1" t="str">
        <f>"08826"</f>
        <v>08826</v>
      </c>
      <c r="B2044" s="1" t="str">
        <f>"35084"</f>
        <v>35084</v>
      </c>
      <c r="C2044" s="1" t="str">
        <f>"GLEN GARDNER"</f>
        <v>GLEN GARDNER</v>
      </c>
      <c r="D2044" s="1" t="str">
        <f t="shared" si="142"/>
        <v>NJ</v>
      </c>
      <c r="E2044" s="2">
        <v>1</v>
      </c>
      <c r="F2044" s="2">
        <v>1</v>
      </c>
      <c r="G2044" s="2">
        <v>1</v>
      </c>
      <c r="H2044" s="2">
        <v>1</v>
      </c>
    </row>
    <row r="2045" spans="1:8" x14ac:dyDescent="0.25">
      <c r="A2045" s="1" t="str">
        <f>"08844"</f>
        <v>08844</v>
      </c>
      <c r="B2045" s="1" t="str">
        <f>"35154"</f>
        <v>35154</v>
      </c>
      <c r="C2045" s="1" t="str">
        <f>"HILLSBOROUGH"</f>
        <v>HILLSBOROUGH</v>
      </c>
      <c r="D2045" s="1" t="str">
        <f t="shared" si="142"/>
        <v>NJ</v>
      </c>
      <c r="E2045" s="2">
        <v>1</v>
      </c>
      <c r="F2045" s="2">
        <v>1</v>
      </c>
      <c r="G2045" s="2">
        <v>1</v>
      </c>
      <c r="H2045" s="2">
        <v>1</v>
      </c>
    </row>
    <row r="2046" spans="1:8" x14ac:dyDescent="0.25">
      <c r="A2046" s="1" t="str">
        <f>"10020"</f>
        <v>10020</v>
      </c>
      <c r="B2046" s="1" t="str">
        <f>"35614"</f>
        <v>35614</v>
      </c>
      <c r="C2046" s="1" t="str">
        <f>"NEW YORK"</f>
        <v>NEW YORK</v>
      </c>
      <c r="D2046" s="1" t="str">
        <f t="shared" ref="D2046:D2063" si="143">"NY"</f>
        <v>NY</v>
      </c>
      <c r="E2046" s="2">
        <v>0</v>
      </c>
      <c r="F2046" s="2">
        <v>1</v>
      </c>
      <c r="G2046" s="2">
        <v>1</v>
      </c>
      <c r="H2046" s="2">
        <v>1</v>
      </c>
    </row>
    <row r="2047" spans="1:8" x14ac:dyDescent="0.25">
      <c r="A2047" s="1" t="str">
        <f>"10473"</f>
        <v>10473</v>
      </c>
      <c r="B2047" s="1" t="str">
        <f>"35614"</f>
        <v>35614</v>
      </c>
      <c r="C2047" s="1" t="str">
        <f>"BRONX"</f>
        <v>BRONX</v>
      </c>
      <c r="D2047" s="1" t="str">
        <f t="shared" si="143"/>
        <v>NY</v>
      </c>
      <c r="E2047" s="2">
        <v>1</v>
      </c>
      <c r="F2047" s="2">
        <v>1</v>
      </c>
      <c r="G2047" s="2">
        <v>1</v>
      </c>
      <c r="H2047" s="2">
        <v>1</v>
      </c>
    </row>
    <row r="2048" spans="1:8" x14ac:dyDescent="0.25">
      <c r="A2048" s="1" t="str">
        <f>"10464"</f>
        <v>10464</v>
      </c>
      <c r="B2048" s="1" t="str">
        <f>"35614"</f>
        <v>35614</v>
      </c>
      <c r="C2048" s="1" t="str">
        <f>"BRONX"</f>
        <v>BRONX</v>
      </c>
      <c r="D2048" s="1" t="str">
        <f t="shared" si="143"/>
        <v>NY</v>
      </c>
      <c r="E2048" s="2">
        <v>1</v>
      </c>
      <c r="F2048" s="2">
        <v>1</v>
      </c>
      <c r="G2048" s="2">
        <v>1</v>
      </c>
      <c r="H2048" s="2">
        <v>1</v>
      </c>
    </row>
    <row r="2049" spans="1:8" x14ac:dyDescent="0.25">
      <c r="A2049" s="1" t="str">
        <f>"11212"</f>
        <v>11212</v>
      </c>
      <c r="B2049" s="1" t="str">
        <f>"35614"</f>
        <v>35614</v>
      </c>
      <c r="C2049" s="1" t="str">
        <f>"BROOKLYN"</f>
        <v>BROOKLYN</v>
      </c>
      <c r="D2049" s="1" t="str">
        <f t="shared" si="143"/>
        <v>NY</v>
      </c>
      <c r="E2049" s="2">
        <v>1</v>
      </c>
      <c r="F2049" s="2">
        <v>1</v>
      </c>
      <c r="G2049" s="2">
        <v>1</v>
      </c>
      <c r="H2049" s="2">
        <v>1</v>
      </c>
    </row>
    <row r="2050" spans="1:8" x14ac:dyDescent="0.25">
      <c r="A2050" s="1" t="str">
        <f>"11230"</f>
        <v>11230</v>
      </c>
      <c r="B2050" s="1" t="str">
        <f>"35614"</f>
        <v>35614</v>
      </c>
      <c r="C2050" s="1" t="str">
        <f>"BROOKLYN"</f>
        <v>BROOKLYN</v>
      </c>
      <c r="D2050" s="1" t="str">
        <f t="shared" si="143"/>
        <v>NY</v>
      </c>
      <c r="E2050" s="2">
        <v>1</v>
      </c>
      <c r="F2050" s="2">
        <v>1</v>
      </c>
      <c r="G2050" s="2">
        <v>1</v>
      </c>
      <c r="H2050" s="2">
        <v>1</v>
      </c>
    </row>
    <row r="2051" spans="1:8" x14ac:dyDescent="0.25">
      <c r="A2051" s="1" t="str">
        <f>"11096"</f>
        <v>11096</v>
      </c>
      <c r="B2051" s="1" t="str">
        <f>"35004"</f>
        <v>35004</v>
      </c>
      <c r="C2051" s="1" t="str">
        <f>"INWOOD"</f>
        <v>INWOOD</v>
      </c>
      <c r="D2051" s="1" t="str">
        <f t="shared" si="143"/>
        <v>NY</v>
      </c>
      <c r="E2051" s="2">
        <v>1</v>
      </c>
      <c r="F2051" s="2">
        <v>1</v>
      </c>
      <c r="G2051" s="2">
        <v>1</v>
      </c>
      <c r="H2051" s="2">
        <v>1</v>
      </c>
    </row>
    <row r="2052" spans="1:8" x14ac:dyDescent="0.25">
      <c r="A2052" s="1" t="str">
        <f>"11369"</f>
        <v>11369</v>
      </c>
      <c r="B2052" s="1" t="str">
        <f>"35614"</f>
        <v>35614</v>
      </c>
      <c r="C2052" s="1" t="str">
        <f>"EAST ELMHURST"</f>
        <v>EAST ELMHURST</v>
      </c>
      <c r="D2052" s="1" t="str">
        <f t="shared" si="143"/>
        <v>NY</v>
      </c>
      <c r="E2052" s="2">
        <v>1</v>
      </c>
      <c r="F2052" s="2">
        <v>1</v>
      </c>
      <c r="G2052" s="2">
        <v>1</v>
      </c>
      <c r="H2052" s="2">
        <v>1</v>
      </c>
    </row>
    <row r="2053" spans="1:8" x14ac:dyDescent="0.25">
      <c r="A2053" s="1" t="str">
        <f>"11370"</f>
        <v>11370</v>
      </c>
      <c r="B2053" s="1" t="str">
        <f>"35614"</f>
        <v>35614</v>
      </c>
      <c r="C2053" s="1" t="str">
        <f>"EAST ELMHURST"</f>
        <v>EAST ELMHURST</v>
      </c>
      <c r="D2053" s="1" t="str">
        <f t="shared" si="143"/>
        <v>NY</v>
      </c>
      <c r="E2053" s="2">
        <v>1</v>
      </c>
      <c r="F2053" s="2">
        <v>1</v>
      </c>
      <c r="G2053" s="2">
        <v>1</v>
      </c>
      <c r="H2053" s="2">
        <v>1</v>
      </c>
    </row>
    <row r="2054" spans="1:8" x14ac:dyDescent="0.25">
      <c r="A2054" s="1" t="str">
        <f>"11378"</f>
        <v>11378</v>
      </c>
      <c r="B2054" s="1" t="str">
        <f>"35614"</f>
        <v>35614</v>
      </c>
      <c r="C2054" s="1" t="str">
        <f>"MASPETH"</f>
        <v>MASPETH</v>
      </c>
      <c r="D2054" s="1" t="str">
        <f t="shared" si="143"/>
        <v>NY</v>
      </c>
      <c r="E2054" s="2">
        <v>1</v>
      </c>
      <c r="F2054" s="2">
        <v>1</v>
      </c>
      <c r="G2054" s="2">
        <v>1</v>
      </c>
      <c r="H2054" s="2">
        <v>1</v>
      </c>
    </row>
    <row r="2055" spans="1:8" x14ac:dyDescent="0.25">
      <c r="A2055" s="1" t="str">
        <f>"11422"</f>
        <v>11422</v>
      </c>
      <c r="B2055" s="1" t="str">
        <f>"35614"</f>
        <v>35614</v>
      </c>
      <c r="C2055" s="1" t="str">
        <f>"ROSEDALE"</f>
        <v>ROSEDALE</v>
      </c>
      <c r="D2055" s="1" t="str">
        <f t="shared" si="143"/>
        <v>NY</v>
      </c>
      <c r="E2055" s="2">
        <v>1</v>
      </c>
      <c r="F2055" s="2">
        <v>0.99638336347197098</v>
      </c>
      <c r="G2055" s="2">
        <v>1</v>
      </c>
      <c r="H2055" s="2">
        <v>0.99977145469089201</v>
      </c>
    </row>
    <row r="2056" spans="1:8" x14ac:dyDescent="0.25">
      <c r="A2056" s="1" t="str">
        <f>"11422"</f>
        <v>11422</v>
      </c>
      <c r="B2056" s="1" t="str">
        <f t="shared" ref="B2056:B2061" si="144">"35004"</f>
        <v>35004</v>
      </c>
      <c r="C2056" s="1" t="str">
        <f>"ROSEDALE"</f>
        <v>ROSEDALE</v>
      </c>
      <c r="D2056" s="1" t="str">
        <f t="shared" si="143"/>
        <v>NY</v>
      </c>
      <c r="E2056" s="2">
        <v>0</v>
      </c>
      <c r="F2056" s="2">
        <v>3.6166365280289299E-3</v>
      </c>
      <c r="G2056" s="2">
        <v>0</v>
      </c>
      <c r="H2056" s="2">
        <v>2.2854530910752999E-4</v>
      </c>
    </row>
    <row r="2057" spans="1:8" x14ac:dyDescent="0.25">
      <c r="A2057" s="1" t="str">
        <f>"11572"</f>
        <v>11572</v>
      </c>
      <c r="B2057" s="1" t="str">
        <f t="shared" si="144"/>
        <v>35004</v>
      </c>
      <c r="C2057" s="1" t="str">
        <f>"OCEANSIDE"</f>
        <v>OCEANSIDE</v>
      </c>
      <c r="D2057" s="1" t="str">
        <f t="shared" si="143"/>
        <v>NY</v>
      </c>
      <c r="E2057" s="2">
        <v>1</v>
      </c>
      <c r="F2057" s="2">
        <v>1</v>
      </c>
      <c r="G2057" s="2">
        <v>1</v>
      </c>
      <c r="H2057" s="2">
        <v>1</v>
      </c>
    </row>
    <row r="2058" spans="1:8" x14ac:dyDescent="0.25">
      <c r="A2058" s="1" t="str">
        <f>"11732"</f>
        <v>11732</v>
      </c>
      <c r="B2058" s="1" t="str">
        <f t="shared" si="144"/>
        <v>35004</v>
      </c>
      <c r="C2058" s="1" t="str">
        <f>"EAST NORWICH"</f>
        <v>EAST NORWICH</v>
      </c>
      <c r="D2058" s="1" t="str">
        <f t="shared" si="143"/>
        <v>NY</v>
      </c>
      <c r="E2058" s="2">
        <v>1</v>
      </c>
      <c r="F2058" s="2">
        <v>1</v>
      </c>
      <c r="G2058" s="2">
        <v>1</v>
      </c>
      <c r="H2058" s="2">
        <v>1</v>
      </c>
    </row>
    <row r="2059" spans="1:8" x14ac:dyDescent="0.25">
      <c r="A2059" s="1" t="str">
        <f>"11764"</f>
        <v>11764</v>
      </c>
      <c r="B2059" s="1" t="str">
        <f t="shared" si="144"/>
        <v>35004</v>
      </c>
      <c r="C2059" s="1" t="str">
        <f>"MILLER PLACE"</f>
        <v>MILLER PLACE</v>
      </c>
      <c r="D2059" s="1" t="str">
        <f t="shared" si="143"/>
        <v>NY</v>
      </c>
      <c r="E2059" s="2">
        <v>1</v>
      </c>
      <c r="F2059" s="2">
        <v>1</v>
      </c>
      <c r="G2059" s="2">
        <v>1</v>
      </c>
      <c r="H2059" s="2">
        <v>1</v>
      </c>
    </row>
    <row r="2060" spans="1:8" x14ac:dyDescent="0.25">
      <c r="A2060" s="1" t="str">
        <f>"11796"</f>
        <v>11796</v>
      </c>
      <c r="B2060" s="1" t="str">
        <f t="shared" si="144"/>
        <v>35004</v>
      </c>
      <c r="C2060" s="1" t="str">
        <f>"WEST SAYVILLE"</f>
        <v>WEST SAYVILLE</v>
      </c>
      <c r="D2060" s="1" t="str">
        <f t="shared" si="143"/>
        <v>NY</v>
      </c>
      <c r="E2060" s="2">
        <v>1</v>
      </c>
      <c r="F2060" s="2">
        <v>1</v>
      </c>
      <c r="G2060" s="2">
        <v>1</v>
      </c>
      <c r="H2060" s="2">
        <v>1</v>
      </c>
    </row>
    <row r="2061" spans="1:8" x14ac:dyDescent="0.25">
      <c r="A2061" s="1" t="str">
        <f>"11933"</f>
        <v>11933</v>
      </c>
      <c r="B2061" s="1" t="str">
        <f t="shared" si="144"/>
        <v>35004</v>
      </c>
      <c r="C2061" s="1" t="str">
        <f>"CALVERTON"</f>
        <v>CALVERTON</v>
      </c>
      <c r="D2061" s="1" t="str">
        <f t="shared" si="143"/>
        <v>NY</v>
      </c>
      <c r="E2061" s="2">
        <v>1</v>
      </c>
      <c r="F2061" s="2">
        <v>1</v>
      </c>
      <c r="G2061" s="2">
        <v>1</v>
      </c>
      <c r="H2061" s="2">
        <v>1</v>
      </c>
    </row>
    <row r="2062" spans="1:8" x14ac:dyDescent="0.25">
      <c r="A2062" s="1" t="str">
        <f>"10589"</f>
        <v>10589</v>
      </c>
      <c r="B2062" s="1" t="str">
        <f>"35614"</f>
        <v>35614</v>
      </c>
      <c r="C2062" s="1" t="str">
        <f>"SOMERS"</f>
        <v>SOMERS</v>
      </c>
      <c r="D2062" s="1" t="str">
        <f t="shared" si="143"/>
        <v>NY</v>
      </c>
      <c r="E2062" s="2">
        <v>1</v>
      </c>
      <c r="F2062" s="2">
        <v>1</v>
      </c>
      <c r="G2062" s="2">
        <v>1</v>
      </c>
      <c r="H2062" s="2">
        <v>1</v>
      </c>
    </row>
    <row r="2063" spans="1:8" x14ac:dyDescent="0.25">
      <c r="A2063" s="1" t="str">
        <f>"10591"</f>
        <v>10591</v>
      </c>
      <c r="B2063" s="1" t="str">
        <f>"35614"</f>
        <v>35614</v>
      </c>
      <c r="C2063" s="1" t="str">
        <f>"TARRYTOWN"</f>
        <v>TARRYTOWN</v>
      </c>
      <c r="D2063" s="1" t="str">
        <f t="shared" si="143"/>
        <v>NY</v>
      </c>
      <c r="E2063" s="2">
        <v>1</v>
      </c>
      <c r="F2063" s="2">
        <v>1</v>
      </c>
      <c r="G2063" s="2">
        <v>1</v>
      </c>
      <c r="H2063" s="2">
        <v>1</v>
      </c>
    </row>
    <row r="2064" spans="1:8" x14ac:dyDescent="0.25">
      <c r="A2064" s="1" t="str">
        <f>"18077"</f>
        <v>18077</v>
      </c>
      <c r="B2064" s="1" t="str">
        <f>"33874"</f>
        <v>33874</v>
      </c>
      <c r="C2064" s="1" t="str">
        <f>"RIEGELSVILLE"</f>
        <v>RIEGELSVILLE</v>
      </c>
      <c r="D2064" s="1" t="str">
        <f t="shared" ref="D2064:D2069" si="145">"PA"</f>
        <v>PA</v>
      </c>
      <c r="E2064" s="2">
        <v>1</v>
      </c>
      <c r="F2064" s="2">
        <v>1</v>
      </c>
      <c r="G2064" s="2">
        <v>1</v>
      </c>
      <c r="H2064" s="2">
        <v>1</v>
      </c>
    </row>
    <row r="2065" spans="1:8" x14ac:dyDescent="0.25">
      <c r="A2065" s="1" t="str">
        <f>"19021"</f>
        <v>19021</v>
      </c>
      <c r="B2065" s="1" t="str">
        <f>"33874"</f>
        <v>33874</v>
      </c>
      <c r="C2065" s="1" t="str">
        <f>"CROYDON"</f>
        <v>CROYDON</v>
      </c>
      <c r="D2065" s="1" t="str">
        <f t="shared" si="145"/>
        <v>PA</v>
      </c>
      <c r="E2065" s="2">
        <v>1</v>
      </c>
      <c r="F2065" s="2">
        <v>1</v>
      </c>
      <c r="G2065" s="2">
        <v>1</v>
      </c>
      <c r="H2065" s="2">
        <v>1</v>
      </c>
    </row>
    <row r="2066" spans="1:8" x14ac:dyDescent="0.25">
      <c r="A2066" s="1" t="str">
        <f>"19015"</f>
        <v>19015</v>
      </c>
      <c r="B2066" s="1" t="str">
        <f>"37964"</f>
        <v>37964</v>
      </c>
      <c r="C2066" s="1" t="str">
        <f>"BROOKHAVEN"</f>
        <v>BROOKHAVEN</v>
      </c>
      <c r="D2066" s="1" t="str">
        <f t="shared" si="145"/>
        <v>PA</v>
      </c>
      <c r="E2066" s="2">
        <v>1</v>
      </c>
      <c r="F2066" s="2">
        <v>1</v>
      </c>
      <c r="G2066" s="2">
        <v>1</v>
      </c>
      <c r="H2066" s="2">
        <v>1</v>
      </c>
    </row>
    <row r="2067" spans="1:8" x14ac:dyDescent="0.25">
      <c r="A2067" s="1" t="str">
        <f>"19075"</f>
        <v>19075</v>
      </c>
      <c r="B2067" s="1" t="str">
        <f>"33874"</f>
        <v>33874</v>
      </c>
      <c r="C2067" s="1" t="str">
        <f>"ORELAND"</f>
        <v>ORELAND</v>
      </c>
      <c r="D2067" s="1" t="str">
        <f t="shared" si="145"/>
        <v>PA</v>
      </c>
      <c r="E2067" s="2">
        <v>1</v>
      </c>
      <c r="F2067" s="2">
        <v>1</v>
      </c>
      <c r="G2067" s="2">
        <v>1</v>
      </c>
      <c r="H2067" s="2">
        <v>1</v>
      </c>
    </row>
    <row r="2068" spans="1:8" x14ac:dyDescent="0.25">
      <c r="A2068" s="1" t="str">
        <f>"19119"</f>
        <v>19119</v>
      </c>
      <c r="B2068" s="1" t="str">
        <f>"37964"</f>
        <v>37964</v>
      </c>
      <c r="C2068" s="1" t="str">
        <f>"PHILADELPHIA"</f>
        <v>PHILADELPHIA</v>
      </c>
      <c r="D2068" s="1" t="str">
        <f t="shared" si="145"/>
        <v>PA</v>
      </c>
      <c r="E2068" s="2">
        <v>1</v>
      </c>
      <c r="F2068" s="2">
        <v>1</v>
      </c>
      <c r="G2068" s="2">
        <v>1</v>
      </c>
      <c r="H2068" s="2">
        <v>1</v>
      </c>
    </row>
    <row r="2069" spans="1:8" x14ac:dyDescent="0.25">
      <c r="A2069" s="1" t="str">
        <f>"19310"</f>
        <v>19310</v>
      </c>
      <c r="B2069" s="1" t="str">
        <f>"33874"</f>
        <v>33874</v>
      </c>
      <c r="C2069" s="1" t="str">
        <f>"ATGLEN"</f>
        <v>ATGLEN</v>
      </c>
      <c r="D2069" s="1" t="str">
        <f t="shared" si="145"/>
        <v>PA</v>
      </c>
      <c r="E2069" s="2">
        <v>1</v>
      </c>
      <c r="F2069" s="2">
        <v>1</v>
      </c>
      <c r="G2069" s="2">
        <v>1</v>
      </c>
      <c r="H2069" s="2">
        <v>1</v>
      </c>
    </row>
    <row r="2070" spans="1:8" x14ac:dyDescent="0.25">
      <c r="A2070" s="1" t="str">
        <f>"20640"</f>
        <v>20640</v>
      </c>
      <c r="B2070" s="1" t="str">
        <f t="shared" ref="B2070:B2075" si="146">"47894"</f>
        <v>47894</v>
      </c>
      <c r="C2070" s="1" t="str">
        <f>"INDIAN HEAD"</f>
        <v>INDIAN HEAD</v>
      </c>
      <c r="D2070" s="1" t="str">
        <f t="shared" ref="D2070:D2078" si="147">"MD"</f>
        <v>MD</v>
      </c>
      <c r="E2070" s="2">
        <v>1</v>
      </c>
      <c r="F2070" s="2">
        <v>1</v>
      </c>
      <c r="G2070" s="2">
        <v>1</v>
      </c>
      <c r="H2070" s="2">
        <v>1</v>
      </c>
    </row>
    <row r="2071" spans="1:8" x14ac:dyDescent="0.25">
      <c r="A2071" s="1" t="str">
        <f>"20695"</f>
        <v>20695</v>
      </c>
      <c r="B2071" s="1" t="str">
        <f t="shared" si="146"/>
        <v>47894</v>
      </c>
      <c r="C2071" s="1" t="str">
        <f>"WHITE PLAINS"</f>
        <v>WHITE PLAINS</v>
      </c>
      <c r="D2071" s="1" t="str">
        <f t="shared" si="147"/>
        <v>MD</v>
      </c>
      <c r="E2071" s="2">
        <v>1</v>
      </c>
      <c r="F2071" s="2">
        <v>1</v>
      </c>
      <c r="G2071" s="2">
        <v>1</v>
      </c>
      <c r="H2071" s="2">
        <v>1</v>
      </c>
    </row>
    <row r="2072" spans="1:8" x14ac:dyDescent="0.25">
      <c r="A2072" s="1" t="str">
        <f>"20704"</f>
        <v>20704</v>
      </c>
      <c r="B2072" s="1" t="str">
        <f t="shared" si="146"/>
        <v>47894</v>
      </c>
      <c r="C2072" s="1" t="str">
        <f>"BELTSVILLE"</f>
        <v>BELTSVILLE</v>
      </c>
      <c r="D2072" s="1" t="str">
        <f t="shared" si="147"/>
        <v>MD</v>
      </c>
      <c r="E2072" s="2">
        <v>1</v>
      </c>
      <c r="F2072" s="2">
        <v>1</v>
      </c>
      <c r="G2072" s="2">
        <v>1</v>
      </c>
      <c r="H2072" s="2">
        <v>1</v>
      </c>
    </row>
    <row r="2073" spans="1:8" x14ac:dyDescent="0.25">
      <c r="A2073" s="1" t="str">
        <f>"20714"</f>
        <v>20714</v>
      </c>
      <c r="B2073" s="1" t="str">
        <f t="shared" si="146"/>
        <v>47894</v>
      </c>
      <c r="C2073" s="1" t="str">
        <f>"NORTH BEACH"</f>
        <v>NORTH BEACH</v>
      </c>
      <c r="D2073" s="1" t="str">
        <f t="shared" si="147"/>
        <v>MD</v>
      </c>
      <c r="E2073" s="2">
        <v>1</v>
      </c>
      <c r="F2073" s="2">
        <v>1</v>
      </c>
      <c r="G2073" s="2">
        <v>1</v>
      </c>
      <c r="H2073" s="2">
        <v>1</v>
      </c>
    </row>
    <row r="2074" spans="1:8" x14ac:dyDescent="0.25">
      <c r="A2074" s="1" t="str">
        <f>"20720"</f>
        <v>20720</v>
      </c>
      <c r="B2074" s="1" t="str">
        <f t="shared" si="146"/>
        <v>47894</v>
      </c>
      <c r="C2074" s="1" t="str">
        <f>"BOWIE"</f>
        <v>BOWIE</v>
      </c>
      <c r="D2074" s="1" t="str">
        <f t="shared" si="147"/>
        <v>MD</v>
      </c>
      <c r="E2074" s="2">
        <v>1</v>
      </c>
      <c r="F2074" s="2">
        <v>1</v>
      </c>
      <c r="G2074" s="2">
        <v>1</v>
      </c>
      <c r="H2074" s="2">
        <v>1</v>
      </c>
    </row>
    <row r="2075" spans="1:8" x14ac:dyDescent="0.25">
      <c r="A2075" s="1" t="str">
        <f>"20721"</f>
        <v>20721</v>
      </c>
      <c r="B2075" s="1" t="str">
        <f t="shared" si="146"/>
        <v>47894</v>
      </c>
      <c r="C2075" s="1" t="str">
        <f>"BOWIE"</f>
        <v>BOWIE</v>
      </c>
      <c r="D2075" s="1" t="str">
        <f t="shared" si="147"/>
        <v>MD</v>
      </c>
      <c r="E2075" s="2">
        <v>1</v>
      </c>
      <c r="F2075" s="2">
        <v>1</v>
      </c>
      <c r="G2075" s="2">
        <v>1</v>
      </c>
      <c r="H2075" s="2">
        <v>1</v>
      </c>
    </row>
    <row r="2076" spans="1:8" x14ac:dyDescent="0.25">
      <c r="A2076" s="1" t="str">
        <f>"20852"</f>
        <v>20852</v>
      </c>
      <c r="B2076" s="1" t="str">
        <f>"23224"</f>
        <v>23224</v>
      </c>
      <c r="C2076" s="1" t="str">
        <f>"ROCKVILLE"</f>
        <v>ROCKVILLE</v>
      </c>
      <c r="D2076" s="1" t="str">
        <f t="shared" si="147"/>
        <v>MD</v>
      </c>
      <c r="E2076" s="2">
        <v>1</v>
      </c>
      <c r="F2076" s="2">
        <v>1</v>
      </c>
      <c r="G2076" s="2">
        <v>1</v>
      </c>
      <c r="H2076" s="2">
        <v>1</v>
      </c>
    </row>
    <row r="2077" spans="1:8" x14ac:dyDescent="0.25">
      <c r="A2077" s="1" t="str">
        <f>"20912"</f>
        <v>20912</v>
      </c>
      <c r="B2077" s="1" t="str">
        <f>"47894"</f>
        <v>47894</v>
      </c>
      <c r="C2077" s="1" t="str">
        <f>"TAKOMA PARK"</f>
        <v>TAKOMA PARK</v>
      </c>
      <c r="D2077" s="1" t="str">
        <f t="shared" si="147"/>
        <v>MD</v>
      </c>
      <c r="E2077" s="2">
        <v>0.15737368076958899</v>
      </c>
      <c r="F2077" s="2">
        <v>9.9710982658959502E-2</v>
      </c>
      <c r="G2077" s="2">
        <v>7.2712418300653503E-2</v>
      </c>
      <c r="H2077" s="2">
        <v>0.146003327259763</v>
      </c>
    </row>
    <row r="2078" spans="1:8" x14ac:dyDescent="0.25">
      <c r="A2078" s="1" t="str">
        <f>"20912"</f>
        <v>20912</v>
      </c>
      <c r="B2078" s="1" t="str">
        <f>"23224"</f>
        <v>23224</v>
      </c>
      <c r="C2078" s="1" t="str">
        <f>"TAKOMA PARK"</f>
        <v>TAKOMA PARK</v>
      </c>
      <c r="D2078" s="1" t="str">
        <f t="shared" si="147"/>
        <v>MD</v>
      </c>
      <c r="E2078" s="2">
        <v>0.84262631923040998</v>
      </c>
      <c r="F2078" s="2">
        <v>0.90028901734104005</v>
      </c>
      <c r="G2078" s="2">
        <v>0.927287581699346</v>
      </c>
      <c r="H2078" s="2">
        <v>0.85399667274023605</v>
      </c>
    </row>
    <row r="2079" spans="1:8" x14ac:dyDescent="0.25">
      <c r="A2079" s="1" t="str">
        <f>"22003"</f>
        <v>22003</v>
      </c>
      <c r="B2079" s="1" t="str">
        <f>"47894"</f>
        <v>47894</v>
      </c>
      <c r="C2079" s="1" t="str">
        <f>"ANNANDALE"</f>
        <v>ANNANDALE</v>
      </c>
      <c r="D2079" s="1" t="str">
        <f>"VA"</f>
        <v>VA</v>
      </c>
      <c r="E2079" s="2">
        <v>1</v>
      </c>
      <c r="F2079" s="2">
        <v>1</v>
      </c>
      <c r="G2079" s="2">
        <v>1</v>
      </c>
      <c r="H2079" s="2">
        <v>1</v>
      </c>
    </row>
    <row r="2080" spans="1:8" x14ac:dyDescent="0.25">
      <c r="A2080" s="1" t="str">
        <f>"22044"</f>
        <v>22044</v>
      </c>
      <c r="B2080" s="1" t="str">
        <f>"47894"</f>
        <v>47894</v>
      </c>
      <c r="C2080" s="1" t="str">
        <f>"FALLS CHURCH"</f>
        <v>FALLS CHURCH</v>
      </c>
      <c r="D2080" s="1" t="str">
        <f>"VA"</f>
        <v>VA</v>
      </c>
      <c r="E2080" s="2">
        <v>1</v>
      </c>
      <c r="F2080" s="2">
        <v>1</v>
      </c>
      <c r="G2080" s="2">
        <v>1</v>
      </c>
      <c r="H2080" s="2">
        <v>1</v>
      </c>
    </row>
    <row r="2081" spans="1:8" x14ac:dyDescent="0.25">
      <c r="A2081" s="1" t="str">
        <f>"23015"</f>
        <v>23015</v>
      </c>
      <c r="B2081" s="1" t="str">
        <f>"47894"</f>
        <v>47894</v>
      </c>
      <c r="C2081" s="1" t="str">
        <f>"BEAVERDAM"</f>
        <v>BEAVERDAM</v>
      </c>
      <c r="D2081" s="1" t="str">
        <f>"VA"</f>
        <v>VA</v>
      </c>
      <c r="E2081" s="2">
        <v>1</v>
      </c>
      <c r="F2081" s="2">
        <v>1</v>
      </c>
      <c r="G2081" s="2">
        <v>0</v>
      </c>
      <c r="H2081" s="2">
        <v>1</v>
      </c>
    </row>
    <row r="2082" spans="1:8" x14ac:dyDescent="0.25">
      <c r="A2082" s="1" t="str">
        <f>"33022"</f>
        <v>33022</v>
      </c>
      <c r="B2082" s="1" t="str">
        <f>"22744"</f>
        <v>22744</v>
      </c>
      <c r="C2082" s="1" t="str">
        <f>"HOLLYWOOD"</f>
        <v>HOLLYWOOD</v>
      </c>
      <c r="D2082" s="1" t="str">
        <f t="shared" ref="D2082:D2089" si="148">"FL"</f>
        <v>FL</v>
      </c>
      <c r="E2082" s="2">
        <v>1</v>
      </c>
      <c r="F2082" s="2">
        <v>1</v>
      </c>
      <c r="G2082" s="2">
        <v>1</v>
      </c>
      <c r="H2082" s="2">
        <v>1</v>
      </c>
    </row>
    <row r="2083" spans="1:8" x14ac:dyDescent="0.25">
      <c r="A2083" s="1" t="str">
        <f>"33421"</f>
        <v>33421</v>
      </c>
      <c r="B2083" s="1" t="str">
        <f>"48424"</f>
        <v>48424</v>
      </c>
      <c r="C2083" s="1" t="str">
        <f>"ROYAL PALM BEACH"</f>
        <v>ROYAL PALM BEACH</v>
      </c>
      <c r="D2083" s="1" t="str">
        <f t="shared" si="148"/>
        <v>FL</v>
      </c>
      <c r="E2083" s="2">
        <v>1</v>
      </c>
      <c r="F2083" s="2">
        <v>1</v>
      </c>
      <c r="G2083" s="2">
        <v>1</v>
      </c>
      <c r="H2083" s="2">
        <v>1</v>
      </c>
    </row>
    <row r="2084" spans="1:8" x14ac:dyDescent="0.25">
      <c r="A2084" s="1" t="str">
        <f>"33487"</f>
        <v>33487</v>
      </c>
      <c r="B2084" s="1" t="str">
        <f>"48424"</f>
        <v>48424</v>
      </c>
      <c r="C2084" s="1" t="str">
        <f>"BOCA RATON"</f>
        <v>BOCA RATON</v>
      </c>
      <c r="D2084" s="1" t="str">
        <f t="shared" si="148"/>
        <v>FL</v>
      </c>
      <c r="E2084" s="2">
        <v>1</v>
      </c>
      <c r="F2084" s="2">
        <v>1</v>
      </c>
      <c r="G2084" s="2">
        <v>1</v>
      </c>
      <c r="H2084" s="2">
        <v>1</v>
      </c>
    </row>
    <row r="2085" spans="1:8" x14ac:dyDescent="0.25">
      <c r="A2085" s="1" t="str">
        <f>"33330"</f>
        <v>33330</v>
      </c>
      <c r="B2085" s="1" t="str">
        <f>"22744"</f>
        <v>22744</v>
      </c>
      <c r="C2085" s="1" t="str">
        <f>"FORT LAUDERDALE"</f>
        <v>FORT LAUDERDALE</v>
      </c>
      <c r="D2085" s="1" t="str">
        <f t="shared" si="148"/>
        <v>FL</v>
      </c>
      <c r="E2085" s="2">
        <v>1</v>
      </c>
      <c r="F2085" s="2">
        <v>1</v>
      </c>
      <c r="G2085" s="2">
        <v>1</v>
      </c>
      <c r="H2085" s="2">
        <v>1</v>
      </c>
    </row>
    <row r="2086" spans="1:8" x14ac:dyDescent="0.25">
      <c r="A2086" s="1" t="str">
        <f>"33442"</f>
        <v>33442</v>
      </c>
      <c r="B2086" s="1" t="str">
        <f>"22744"</f>
        <v>22744</v>
      </c>
      <c r="C2086" s="1" t="str">
        <f>"DEERFIELD BEACH"</f>
        <v>DEERFIELD BEACH</v>
      </c>
      <c r="D2086" s="1" t="str">
        <f t="shared" si="148"/>
        <v>FL</v>
      </c>
      <c r="E2086" s="2">
        <v>1</v>
      </c>
      <c r="F2086" s="2">
        <v>1</v>
      </c>
      <c r="G2086" s="2">
        <v>1</v>
      </c>
      <c r="H2086" s="2">
        <v>1</v>
      </c>
    </row>
    <row r="2087" spans="1:8" x14ac:dyDescent="0.25">
      <c r="A2087" s="1" t="str">
        <f>"33312"</f>
        <v>33312</v>
      </c>
      <c r="B2087" s="1" t="str">
        <f>"22744"</f>
        <v>22744</v>
      </c>
      <c r="C2087" s="1" t="str">
        <f>"FORT LAUDERDALE"</f>
        <v>FORT LAUDERDALE</v>
      </c>
      <c r="D2087" s="1" t="str">
        <f t="shared" si="148"/>
        <v>FL</v>
      </c>
      <c r="E2087" s="2">
        <v>1</v>
      </c>
      <c r="F2087" s="2">
        <v>1</v>
      </c>
      <c r="G2087" s="2">
        <v>1</v>
      </c>
      <c r="H2087" s="2">
        <v>1</v>
      </c>
    </row>
    <row r="2088" spans="1:8" x14ac:dyDescent="0.25">
      <c r="A2088" s="1" t="str">
        <f>"33301"</f>
        <v>33301</v>
      </c>
      <c r="B2088" s="1" t="str">
        <f>"22744"</f>
        <v>22744</v>
      </c>
      <c r="C2088" s="1" t="str">
        <f>"FORT LAUDERDALE"</f>
        <v>FORT LAUDERDALE</v>
      </c>
      <c r="D2088" s="1" t="str">
        <f t="shared" si="148"/>
        <v>FL</v>
      </c>
      <c r="E2088" s="2">
        <v>1</v>
      </c>
      <c r="F2088" s="2">
        <v>1</v>
      </c>
      <c r="G2088" s="2">
        <v>1</v>
      </c>
      <c r="H2088" s="2">
        <v>1</v>
      </c>
    </row>
    <row r="2089" spans="1:8" x14ac:dyDescent="0.25">
      <c r="A2089" s="1" t="str">
        <f>"33256"</f>
        <v>33256</v>
      </c>
      <c r="B2089" s="1" t="str">
        <f>"33124"</f>
        <v>33124</v>
      </c>
      <c r="C2089" s="1" t="str">
        <f>"MIAMI"</f>
        <v>MIAMI</v>
      </c>
      <c r="D2089" s="1" t="str">
        <f t="shared" si="148"/>
        <v>FL</v>
      </c>
      <c r="E2089" s="2">
        <v>1</v>
      </c>
      <c r="F2089" s="2">
        <v>1</v>
      </c>
      <c r="G2089" s="2">
        <v>1</v>
      </c>
      <c r="H2089" s="2">
        <v>1</v>
      </c>
    </row>
    <row r="2090" spans="1:8" x14ac:dyDescent="0.25">
      <c r="A2090" s="1" t="str">
        <f>"48021"</f>
        <v>48021</v>
      </c>
      <c r="B2090" s="1" t="str">
        <f>"47664"</f>
        <v>47664</v>
      </c>
      <c r="C2090" s="1" t="str">
        <f>"EASTPOINTE"</f>
        <v>EASTPOINTE</v>
      </c>
      <c r="D2090" s="1" t="str">
        <f t="shared" ref="D2090:D2096" si="149">"MI"</f>
        <v>MI</v>
      </c>
      <c r="E2090" s="2">
        <v>1</v>
      </c>
      <c r="F2090" s="2">
        <v>1</v>
      </c>
      <c r="G2090" s="2">
        <v>1</v>
      </c>
      <c r="H2090" s="2">
        <v>1</v>
      </c>
    </row>
    <row r="2091" spans="1:8" x14ac:dyDescent="0.25">
      <c r="A2091" s="1" t="str">
        <f>"48329"</f>
        <v>48329</v>
      </c>
      <c r="B2091" s="1" t="str">
        <f>"47664"</f>
        <v>47664</v>
      </c>
      <c r="C2091" s="1" t="str">
        <f>"WATERFORD"</f>
        <v>WATERFORD</v>
      </c>
      <c r="D2091" s="1" t="str">
        <f t="shared" si="149"/>
        <v>MI</v>
      </c>
      <c r="E2091" s="2">
        <v>1</v>
      </c>
      <c r="F2091" s="2">
        <v>1</v>
      </c>
      <c r="G2091" s="2">
        <v>1</v>
      </c>
      <c r="H2091" s="2">
        <v>1</v>
      </c>
    </row>
    <row r="2092" spans="1:8" x14ac:dyDescent="0.25">
      <c r="A2092" s="1" t="str">
        <f>"48320"</f>
        <v>48320</v>
      </c>
      <c r="B2092" s="1" t="str">
        <f>"47664"</f>
        <v>47664</v>
      </c>
      <c r="C2092" s="1" t="str">
        <f>"KEEGO HARBOR"</f>
        <v>KEEGO HARBOR</v>
      </c>
      <c r="D2092" s="1" t="str">
        <f t="shared" si="149"/>
        <v>MI</v>
      </c>
      <c r="E2092" s="2">
        <v>1</v>
      </c>
      <c r="F2092" s="2">
        <v>1</v>
      </c>
      <c r="G2092" s="2">
        <v>1</v>
      </c>
      <c r="H2092" s="2">
        <v>1</v>
      </c>
    </row>
    <row r="2093" spans="1:8" x14ac:dyDescent="0.25">
      <c r="A2093" s="1" t="str">
        <f>"48164"</f>
        <v>48164</v>
      </c>
      <c r="B2093" s="1" t="str">
        <f>"19804"</f>
        <v>19804</v>
      </c>
      <c r="C2093" s="1" t="str">
        <f>"NEW BOSTON"</f>
        <v>NEW BOSTON</v>
      </c>
      <c r="D2093" s="1" t="str">
        <f t="shared" si="149"/>
        <v>MI</v>
      </c>
      <c r="E2093" s="2">
        <v>1</v>
      </c>
      <c r="F2093" s="2">
        <v>1</v>
      </c>
      <c r="G2093" s="2">
        <v>1</v>
      </c>
      <c r="H2093" s="2">
        <v>1</v>
      </c>
    </row>
    <row r="2094" spans="1:8" x14ac:dyDescent="0.25">
      <c r="A2094" s="1" t="str">
        <f>"48416"</f>
        <v>48416</v>
      </c>
      <c r="B2094" s="1" t="str">
        <f>"47664"</f>
        <v>47664</v>
      </c>
      <c r="C2094" s="1" t="str">
        <f>"BROWN CITY"</f>
        <v>BROWN CITY</v>
      </c>
      <c r="D2094" s="1" t="str">
        <f t="shared" si="149"/>
        <v>MI</v>
      </c>
      <c r="E2094" s="2">
        <v>1</v>
      </c>
      <c r="F2094" s="2">
        <v>1</v>
      </c>
      <c r="G2094" s="2">
        <v>1</v>
      </c>
      <c r="H2094" s="2">
        <v>1</v>
      </c>
    </row>
    <row r="2095" spans="1:8" x14ac:dyDescent="0.25">
      <c r="A2095" s="1" t="str">
        <f>"48387"</f>
        <v>48387</v>
      </c>
      <c r="B2095" s="1" t="str">
        <f>"47664"</f>
        <v>47664</v>
      </c>
      <c r="C2095" s="1" t="str">
        <f>"UNION LAKE"</f>
        <v>UNION LAKE</v>
      </c>
      <c r="D2095" s="1" t="str">
        <f t="shared" si="149"/>
        <v>MI</v>
      </c>
      <c r="E2095" s="2">
        <v>1</v>
      </c>
      <c r="F2095" s="2">
        <v>1</v>
      </c>
      <c r="G2095" s="2">
        <v>1</v>
      </c>
      <c r="H2095" s="2">
        <v>1</v>
      </c>
    </row>
    <row r="2096" spans="1:8" x14ac:dyDescent="0.25">
      <c r="A2096" s="1" t="str">
        <f>"48205"</f>
        <v>48205</v>
      </c>
      <c r="B2096" s="1" t="str">
        <f>"19804"</f>
        <v>19804</v>
      </c>
      <c r="C2096" s="1" t="str">
        <f>"DETROIT"</f>
        <v>DETROIT</v>
      </c>
      <c r="D2096" s="1" t="str">
        <f t="shared" si="149"/>
        <v>MI</v>
      </c>
      <c r="E2096" s="2">
        <v>1</v>
      </c>
      <c r="F2096" s="2">
        <v>1</v>
      </c>
      <c r="G2096" s="2">
        <v>1</v>
      </c>
      <c r="H2096" s="2">
        <v>1</v>
      </c>
    </row>
    <row r="2097" spans="1:8" x14ac:dyDescent="0.25">
      <c r="A2097" s="1" t="str">
        <f>"60444"</f>
        <v>60444</v>
      </c>
      <c r="B2097" s="1" t="str">
        <f>"16984"</f>
        <v>16984</v>
      </c>
      <c r="C2097" s="1" t="str">
        <f>"MAZON"</f>
        <v>MAZON</v>
      </c>
      <c r="D2097" s="1" t="str">
        <f t="shared" ref="D2097:D2104" si="150">"IL"</f>
        <v>IL</v>
      </c>
      <c r="E2097" s="2">
        <v>1</v>
      </c>
      <c r="F2097" s="2">
        <v>1</v>
      </c>
      <c r="G2097" s="2">
        <v>1</v>
      </c>
      <c r="H2097" s="2">
        <v>1</v>
      </c>
    </row>
    <row r="2098" spans="1:8" x14ac:dyDescent="0.25">
      <c r="A2098" s="1" t="str">
        <f>"60448"</f>
        <v>60448</v>
      </c>
      <c r="B2098" s="1" t="str">
        <f>"16984"</f>
        <v>16984</v>
      </c>
      <c r="C2098" s="1" t="str">
        <f>"MOKENA"</f>
        <v>MOKENA</v>
      </c>
      <c r="D2098" s="1" t="str">
        <f t="shared" si="150"/>
        <v>IL</v>
      </c>
      <c r="E2098" s="2">
        <v>1</v>
      </c>
      <c r="F2098" s="2">
        <v>1</v>
      </c>
      <c r="G2098" s="2">
        <v>1</v>
      </c>
      <c r="H2098" s="2">
        <v>1</v>
      </c>
    </row>
    <row r="2099" spans="1:8" x14ac:dyDescent="0.25">
      <c r="A2099" s="1" t="str">
        <f>"60060"</f>
        <v>60060</v>
      </c>
      <c r="B2099" s="1" t="str">
        <f>"29404"</f>
        <v>29404</v>
      </c>
      <c r="C2099" s="1" t="str">
        <f>"MUNDELEIN"</f>
        <v>MUNDELEIN</v>
      </c>
      <c r="D2099" s="1" t="str">
        <f t="shared" si="150"/>
        <v>IL</v>
      </c>
      <c r="E2099" s="2">
        <v>1</v>
      </c>
      <c r="F2099" s="2">
        <v>1</v>
      </c>
      <c r="G2099" s="2">
        <v>1</v>
      </c>
      <c r="H2099" s="2">
        <v>1</v>
      </c>
    </row>
    <row r="2100" spans="1:8" x14ac:dyDescent="0.25">
      <c r="A2100" s="1" t="str">
        <f>"60013"</f>
        <v>60013</v>
      </c>
      <c r="B2100" s="1" t="str">
        <f>"29404"</f>
        <v>29404</v>
      </c>
      <c r="C2100" s="1" t="str">
        <f>"CARY"</f>
        <v>CARY</v>
      </c>
      <c r="D2100" s="1" t="str">
        <f t="shared" si="150"/>
        <v>IL</v>
      </c>
      <c r="E2100" s="2">
        <v>3.8403186042101203E-2</v>
      </c>
      <c r="F2100" s="2">
        <v>0</v>
      </c>
      <c r="G2100" s="2">
        <v>0</v>
      </c>
      <c r="H2100" s="2">
        <v>3.4850701316582001E-2</v>
      </c>
    </row>
    <row r="2101" spans="1:8" x14ac:dyDescent="0.25">
      <c r="A2101" s="1" t="str">
        <f>"60013"</f>
        <v>60013</v>
      </c>
      <c r="B2101" s="1" t="str">
        <f>"16984"</f>
        <v>16984</v>
      </c>
      <c r="C2101" s="1" t="str">
        <f>"CARY"</f>
        <v>CARY</v>
      </c>
      <c r="D2101" s="1" t="str">
        <f t="shared" si="150"/>
        <v>IL</v>
      </c>
      <c r="E2101" s="2">
        <v>0.96159681395789798</v>
      </c>
      <c r="F2101" s="2">
        <v>1</v>
      </c>
      <c r="G2101" s="2">
        <v>1</v>
      </c>
      <c r="H2101" s="2">
        <v>0.96514929868341703</v>
      </c>
    </row>
    <row r="2102" spans="1:8" x14ac:dyDescent="0.25">
      <c r="A2102" s="1" t="str">
        <f>"60191"</f>
        <v>60191</v>
      </c>
      <c r="B2102" s="1" t="str">
        <f>"16984"</f>
        <v>16984</v>
      </c>
      <c r="C2102" s="1" t="str">
        <f>"WOOD DALE"</f>
        <v>WOOD DALE</v>
      </c>
      <c r="D2102" s="1" t="str">
        <f t="shared" si="150"/>
        <v>IL</v>
      </c>
      <c r="E2102" s="2">
        <v>1</v>
      </c>
      <c r="F2102" s="2">
        <v>1</v>
      </c>
      <c r="G2102" s="2">
        <v>1</v>
      </c>
      <c r="H2102" s="2">
        <v>1</v>
      </c>
    </row>
    <row r="2103" spans="1:8" x14ac:dyDescent="0.25">
      <c r="A2103" s="1" t="str">
        <f>"60803"</f>
        <v>60803</v>
      </c>
      <c r="B2103" s="1" t="str">
        <f>"16984"</f>
        <v>16984</v>
      </c>
      <c r="C2103" s="1" t="str">
        <f>"ALSIP"</f>
        <v>ALSIP</v>
      </c>
      <c r="D2103" s="1" t="str">
        <f t="shared" si="150"/>
        <v>IL</v>
      </c>
      <c r="E2103" s="2">
        <v>1</v>
      </c>
      <c r="F2103" s="2">
        <v>1</v>
      </c>
      <c r="G2103" s="2">
        <v>1</v>
      </c>
      <c r="H2103" s="2">
        <v>1</v>
      </c>
    </row>
    <row r="2104" spans="1:8" x14ac:dyDescent="0.25">
      <c r="A2104" s="1" t="str">
        <f>"60624"</f>
        <v>60624</v>
      </c>
      <c r="B2104" s="1" t="str">
        <f>"16984"</f>
        <v>16984</v>
      </c>
      <c r="C2104" s="1" t="str">
        <f>"CHICAGO"</f>
        <v>CHICAGO</v>
      </c>
      <c r="D2104" s="1" t="str">
        <f t="shared" si="150"/>
        <v>IL</v>
      </c>
      <c r="E2104" s="2">
        <v>1</v>
      </c>
      <c r="F2104" s="2">
        <v>1</v>
      </c>
      <c r="G2104" s="2">
        <v>1</v>
      </c>
      <c r="H2104" s="2">
        <v>1</v>
      </c>
    </row>
    <row r="2105" spans="1:8" x14ac:dyDescent="0.25">
      <c r="A2105" s="1" t="str">
        <f>"75062"</f>
        <v>75062</v>
      </c>
      <c r="B2105" s="1" t="str">
        <f>"19124"</f>
        <v>19124</v>
      </c>
      <c r="C2105" s="1" t="str">
        <f>"IRVING"</f>
        <v>IRVING</v>
      </c>
      <c r="D2105" s="1" t="str">
        <f t="shared" ref="D2105:D2111" si="151">"TX"</f>
        <v>TX</v>
      </c>
      <c r="E2105" s="2">
        <v>1</v>
      </c>
      <c r="F2105" s="2">
        <v>1</v>
      </c>
      <c r="G2105" s="2">
        <v>1</v>
      </c>
      <c r="H2105" s="2">
        <v>1</v>
      </c>
    </row>
    <row r="2106" spans="1:8" x14ac:dyDescent="0.25">
      <c r="A2106" s="1" t="str">
        <f>"75315"</f>
        <v>75315</v>
      </c>
      <c r="B2106" s="1" t="str">
        <f>"19124"</f>
        <v>19124</v>
      </c>
      <c r="C2106" s="1" t="str">
        <f>"DALLAS"</f>
        <v>DALLAS</v>
      </c>
      <c r="D2106" s="1" t="str">
        <f t="shared" si="151"/>
        <v>TX</v>
      </c>
      <c r="E2106" s="2">
        <v>1</v>
      </c>
      <c r="F2106" s="2">
        <v>1</v>
      </c>
      <c r="G2106" s="2">
        <v>1</v>
      </c>
      <c r="H2106" s="2">
        <v>1</v>
      </c>
    </row>
    <row r="2107" spans="1:8" x14ac:dyDescent="0.25">
      <c r="A2107" s="1" t="str">
        <f>"75212"</f>
        <v>75212</v>
      </c>
      <c r="B2107" s="1" t="str">
        <f>"19124"</f>
        <v>19124</v>
      </c>
      <c r="C2107" s="1" t="str">
        <f>"DALLAS"</f>
        <v>DALLAS</v>
      </c>
      <c r="D2107" s="1" t="str">
        <f t="shared" si="151"/>
        <v>TX</v>
      </c>
      <c r="E2107" s="2">
        <v>1</v>
      </c>
      <c r="F2107" s="2">
        <v>1</v>
      </c>
      <c r="G2107" s="2">
        <v>1</v>
      </c>
      <c r="H2107" s="2">
        <v>1</v>
      </c>
    </row>
    <row r="2108" spans="1:8" x14ac:dyDescent="0.25">
      <c r="A2108" s="1" t="str">
        <f>"75227"</f>
        <v>75227</v>
      </c>
      <c r="B2108" s="1" t="str">
        <f>"19124"</f>
        <v>19124</v>
      </c>
      <c r="C2108" s="1" t="str">
        <f>"DALLAS"</f>
        <v>DALLAS</v>
      </c>
      <c r="D2108" s="1" t="str">
        <f t="shared" si="151"/>
        <v>TX</v>
      </c>
      <c r="E2108" s="2">
        <v>1</v>
      </c>
      <c r="F2108" s="2">
        <v>1</v>
      </c>
      <c r="G2108" s="2">
        <v>1</v>
      </c>
      <c r="H2108" s="2">
        <v>1</v>
      </c>
    </row>
    <row r="2109" spans="1:8" x14ac:dyDescent="0.25">
      <c r="A2109" s="1" t="str">
        <f>"75123"</f>
        <v>75123</v>
      </c>
      <c r="B2109" s="1" t="str">
        <f>"19124"</f>
        <v>19124</v>
      </c>
      <c r="C2109" s="1" t="str">
        <f>"DESOTO"</f>
        <v>DESOTO</v>
      </c>
      <c r="D2109" s="1" t="str">
        <f t="shared" si="151"/>
        <v>TX</v>
      </c>
      <c r="E2109" s="2">
        <v>1</v>
      </c>
      <c r="F2109" s="2">
        <v>1</v>
      </c>
      <c r="G2109" s="2">
        <v>1</v>
      </c>
      <c r="H2109" s="2">
        <v>1</v>
      </c>
    </row>
    <row r="2110" spans="1:8" x14ac:dyDescent="0.25">
      <c r="A2110" s="1" t="str">
        <f>"76066"</f>
        <v>76066</v>
      </c>
      <c r="B2110" s="1" t="str">
        <f>"23104"</f>
        <v>23104</v>
      </c>
      <c r="C2110" s="1" t="str">
        <f>"MILLSAP"</f>
        <v>MILLSAP</v>
      </c>
      <c r="D2110" s="1" t="str">
        <f t="shared" si="151"/>
        <v>TX</v>
      </c>
      <c r="E2110" s="2">
        <v>1</v>
      </c>
      <c r="F2110" s="2">
        <v>1</v>
      </c>
      <c r="G2110" s="2">
        <v>1</v>
      </c>
      <c r="H2110" s="2">
        <v>1</v>
      </c>
    </row>
    <row r="2111" spans="1:8" x14ac:dyDescent="0.25">
      <c r="A2111" s="1" t="str">
        <f>"76067"</f>
        <v>76067</v>
      </c>
      <c r="B2111" s="1" t="str">
        <f>"23104"</f>
        <v>23104</v>
      </c>
      <c r="C2111" s="1" t="str">
        <f>"MINERAL WELLS"</f>
        <v>MINERAL WELLS</v>
      </c>
      <c r="D2111" s="1" t="str">
        <f t="shared" si="151"/>
        <v>TX</v>
      </c>
      <c r="E2111" s="2">
        <v>1</v>
      </c>
      <c r="F2111" s="2">
        <v>1</v>
      </c>
      <c r="G2111" s="2">
        <v>1</v>
      </c>
      <c r="H2111" s="2">
        <v>1</v>
      </c>
    </row>
    <row r="2112" spans="1:8" x14ac:dyDescent="0.25">
      <c r="A2112" s="1" t="str">
        <f>"90021"</f>
        <v>90021</v>
      </c>
      <c r="B2112" s="1" t="str">
        <f>"31084"</f>
        <v>31084</v>
      </c>
      <c r="C2112" s="1" t="str">
        <f>"LOS ANGELES"</f>
        <v>LOS ANGELES</v>
      </c>
      <c r="D2112" s="1" t="str">
        <f t="shared" ref="D2112:D2128" si="152">"CA"</f>
        <v>CA</v>
      </c>
      <c r="E2112" s="2">
        <v>1</v>
      </c>
      <c r="F2112" s="2">
        <v>1</v>
      </c>
      <c r="G2112" s="2">
        <v>1</v>
      </c>
      <c r="H2112" s="2">
        <v>1</v>
      </c>
    </row>
    <row r="2113" spans="1:8" x14ac:dyDescent="0.25">
      <c r="A2113" s="1" t="str">
        <f>"90075"</f>
        <v>90075</v>
      </c>
      <c r="B2113" s="1" t="str">
        <f>"31084"</f>
        <v>31084</v>
      </c>
      <c r="C2113" s="1" t="str">
        <f>"LOS ANGELES"</f>
        <v>LOS ANGELES</v>
      </c>
      <c r="D2113" s="1" t="str">
        <f t="shared" si="152"/>
        <v>CA</v>
      </c>
      <c r="E2113" s="2">
        <v>1</v>
      </c>
      <c r="F2113" s="2">
        <v>1</v>
      </c>
      <c r="G2113" s="2">
        <v>1</v>
      </c>
      <c r="H2113" s="2">
        <v>1</v>
      </c>
    </row>
    <row r="2114" spans="1:8" x14ac:dyDescent="0.25">
      <c r="A2114" s="1" t="str">
        <f>"90040"</f>
        <v>90040</v>
      </c>
      <c r="B2114" s="1" t="str">
        <f>"31084"</f>
        <v>31084</v>
      </c>
      <c r="C2114" s="1" t="str">
        <f>"LOS ANGELES"</f>
        <v>LOS ANGELES</v>
      </c>
      <c r="D2114" s="1" t="str">
        <f t="shared" si="152"/>
        <v>CA</v>
      </c>
      <c r="E2114" s="2">
        <v>1</v>
      </c>
      <c r="F2114" s="2">
        <v>1</v>
      </c>
      <c r="G2114" s="2">
        <v>1</v>
      </c>
      <c r="H2114" s="2">
        <v>1</v>
      </c>
    </row>
    <row r="2115" spans="1:8" x14ac:dyDescent="0.25">
      <c r="A2115" s="1" t="str">
        <f>"90301"</f>
        <v>90301</v>
      </c>
      <c r="B2115" s="1" t="str">
        <f>"31084"</f>
        <v>31084</v>
      </c>
      <c r="C2115" s="1" t="str">
        <f>"INGLEWOOD"</f>
        <v>INGLEWOOD</v>
      </c>
      <c r="D2115" s="1" t="str">
        <f t="shared" si="152"/>
        <v>CA</v>
      </c>
      <c r="E2115" s="2">
        <v>1</v>
      </c>
      <c r="F2115" s="2">
        <v>1</v>
      </c>
      <c r="G2115" s="2">
        <v>1</v>
      </c>
      <c r="H2115" s="2">
        <v>1</v>
      </c>
    </row>
    <row r="2116" spans="1:8" x14ac:dyDescent="0.25">
      <c r="A2116" s="1" t="str">
        <f>"90815"</f>
        <v>90815</v>
      </c>
      <c r="B2116" s="1" t="str">
        <f>"11244"</f>
        <v>11244</v>
      </c>
      <c r="C2116" s="1" t="str">
        <f>"LONG BEACH"</f>
        <v>LONG BEACH</v>
      </c>
      <c r="D2116" s="1" t="str">
        <f t="shared" si="152"/>
        <v>CA</v>
      </c>
      <c r="E2116" s="2">
        <v>2.2760826771653499E-3</v>
      </c>
      <c r="F2116" s="2">
        <v>0</v>
      </c>
      <c r="G2116" s="2">
        <v>0</v>
      </c>
      <c r="H2116" s="2">
        <v>2.0663464760415501E-3</v>
      </c>
    </row>
    <row r="2117" spans="1:8" x14ac:dyDescent="0.25">
      <c r="A2117" s="1" t="str">
        <f>"90815"</f>
        <v>90815</v>
      </c>
      <c r="B2117" s="1" t="str">
        <f t="shared" ref="B2117:B2122" si="153">"31084"</f>
        <v>31084</v>
      </c>
      <c r="C2117" s="1" t="str">
        <f>"LONG BEACH"</f>
        <v>LONG BEACH</v>
      </c>
      <c r="D2117" s="1" t="str">
        <f t="shared" si="152"/>
        <v>CA</v>
      </c>
      <c r="E2117" s="2">
        <v>0.99772391732283405</v>
      </c>
      <c r="F2117" s="2">
        <v>1</v>
      </c>
      <c r="G2117" s="2">
        <v>1</v>
      </c>
      <c r="H2117" s="2">
        <v>0.99793365352395802</v>
      </c>
    </row>
    <row r="2118" spans="1:8" x14ac:dyDescent="0.25">
      <c r="A2118" s="1" t="str">
        <f>"90640"</f>
        <v>90640</v>
      </c>
      <c r="B2118" s="1" t="str">
        <f t="shared" si="153"/>
        <v>31084</v>
      </c>
      <c r="C2118" s="1" t="str">
        <f>"MONTEBELLO"</f>
        <v>MONTEBELLO</v>
      </c>
      <c r="D2118" s="1" t="str">
        <f t="shared" si="152"/>
        <v>CA</v>
      </c>
      <c r="E2118" s="2">
        <v>1</v>
      </c>
      <c r="F2118" s="2">
        <v>1</v>
      </c>
      <c r="G2118" s="2">
        <v>1</v>
      </c>
      <c r="H2118" s="2">
        <v>1</v>
      </c>
    </row>
    <row r="2119" spans="1:8" x14ac:dyDescent="0.25">
      <c r="A2119" s="1" t="str">
        <f>"90804"</f>
        <v>90804</v>
      </c>
      <c r="B2119" s="1" t="str">
        <f t="shared" si="153"/>
        <v>31084</v>
      </c>
      <c r="C2119" s="1" t="str">
        <f>"LONG BEACH"</f>
        <v>LONG BEACH</v>
      </c>
      <c r="D2119" s="1" t="str">
        <f t="shared" si="152"/>
        <v>CA</v>
      </c>
      <c r="E2119" s="2">
        <v>1</v>
      </c>
      <c r="F2119" s="2">
        <v>1</v>
      </c>
      <c r="G2119" s="2">
        <v>1</v>
      </c>
      <c r="H2119" s="2">
        <v>1</v>
      </c>
    </row>
    <row r="2120" spans="1:8" x14ac:dyDescent="0.25">
      <c r="A2120" s="1" t="str">
        <f>"90807"</f>
        <v>90807</v>
      </c>
      <c r="B2120" s="1" t="str">
        <f t="shared" si="153"/>
        <v>31084</v>
      </c>
      <c r="C2120" s="1" t="str">
        <f>"LONG BEACH"</f>
        <v>LONG BEACH</v>
      </c>
      <c r="D2120" s="1" t="str">
        <f t="shared" si="152"/>
        <v>CA</v>
      </c>
      <c r="E2120" s="2">
        <v>1</v>
      </c>
      <c r="F2120" s="2">
        <v>1</v>
      </c>
      <c r="G2120" s="2">
        <v>1</v>
      </c>
      <c r="H2120" s="2">
        <v>1</v>
      </c>
    </row>
    <row r="2121" spans="1:8" x14ac:dyDescent="0.25">
      <c r="A2121" s="1" t="str">
        <f>"93534"</f>
        <v>93534</v>
      </c>
      <c r="B2121" s="1" t="str">
        <f t="shared" si="153"/>
        <v>31084</v>
      </c>
      <c r="C2121" s="1" t="str">
        <f>"LANCASTER"</f>
        <v>LANCASTER</v>
      </c>
      <c r="D2121" s="1" t="str">
        <f t="shared" si="152"/>
        <v>CA</v>
      </c>
      <c r="E2121" s="2">
        <v>1</v>
      </c>
      <c r="F2121" s="2">
        <v>1</v>
      </c>
      <c r="G2121" s="2">
        <v>1</v>
      </c>
      <c r="H2121" s="2">
        <v>1</v>
      </c>
    </row>
    <row r="2122" spans="1:8" x14ac:dyDescent="0.25">
      <c r="A2122" s="1" t="str">
        <f>"91203"</f>
        <v>91203</v>
      </c>
      <c r="B2122" s="1" t="str">
        <f t="shared" si="153"/>
        <v>31084</v>
      </c>
      <c r="C2122" s="1" t="str">
        <f>"GLENDALE"</f>
        <v>GLENDALE</v>
      </c>
      <c r="D2122" s="1" t="str">
        <f t="shared" si="152"/>
        <v>CA</v>
      </c>
      <c r="E2122" s="2">
        <v>1</v>
      </c>
      <c r="F2122" s="2">
        <v>1</v>
      </c>
      <c r="G2122" s="2">
        <v>1</v>
      </c>
      <c r="H2122" s="2">
        <v>1</v>
      </c>
    </row>
    <row r="2123" spans="1:8" x14ac:dyDescent="0.25">
      <c r="A2123" s="1" t="str">
        <f>"94011"</f>
        <v>94011</v>
      </c>
      <c r="B2123" s="1" t="str">
        <f>"41884"</f>
        <v>41884</v>
      </c>
      <c r="C2123" s="1" t="str">
        <f>"BURLINGAME"</f>
        <v>BURLINGAME</v>
      </c>
      <c r="D2123" s="1" t="str">
        <f t="shared" si="152"/>
        <v>CA</v>
      </c>
      <c r="E2123" s="2">
        <v>1</v>
      </c>
      <c r="F2123" s="2">
        <v>1</v>
      </c>
      <c r="G2123" s="2">
        <v>1</v>
      </c>
      <c r="H2123" s="2">
        <v>1</v>
      </c>
    </row>
    <row r="2124" spans="1:8" x14ac:dyDescent="0.25">
      <c r="A2124" s="1" t="str">
        <f>"92652"</f>
        <v>92652</v>
      </c>
      <c r="B2124" s="1" t="str">
        <f>"11244"</f>
        <v>11244</v>
      </c>
      <c r="C2124" s="1" t="str">
        <f>"LAGUNA BEACH"</f>
        <v>LAGUNA BEACH</v>
      </c>
      <c r="D2124" s="1" t="str">
        <f t="shared" si="152"/>
        <v>CA</v>
      </c>
      <c r="E2124" s="2">
        <v>1</v>
      </c>
      <c r="F2124" s="2">
        <v>1</v>
      </c>
      <c r="G2124" s="2">
        <v>1</v>
      </c>
      <c r="H2124" s="2">
        <v>1</v>
      </c>
    </row>
    <row r="2125" spans="1:8" x14ac:dyDescent="0.25">
      <c r="A2125" s="1" t="str">
        <f>"92685"</f>
        <v>92685</v>
      </c>
      <c r="B2125" s="1" t="str">
        <f>"11244"</f>
        <v>11244</v>
      </c>
      <c r="C2125" s="1" t="str">
        <f>"WESTMINSTER"</f>
        <v>WESTMINSTER</v>
      </c>
      <c r="D2125" s="1" t="str">
        <f t="shared" si="152"/>
        <v>CA</v>
      </c>
      <c r="E2125" s="2">
        <v>1</v>
      </c>
      <c r="F2125" s="2">
        <v>1</v>
      </c>
      <c r="G2125" s="2">
        <v>1</v>
      </c>
      <c r="H2125" s="2">
        <v>1</v>
      </c>
    </row>
    <row r="2126" spans="1:8" x14ac:dyDescent="0.25">
      <c r="A2126" s="1" t="str">
        <f>"91792"</f>
        <v>91792</v>
      </c>
      <c r="B2126" s="1" t="str">
        <f>"31084"</f>
        <v>31084</v>
      </c>
      <c r="C2126" s="1" t="str">
        <f>"WEST COVINA"</f>
        <v>WEST COVINA</v>
      </c>
      <c r="D2126" s="1" t="str">
        <f t="shared" si="152"/>
        <v>CA</v>
      </c>
      <c r="E2126" s="2">
        <v>1</v>
      </c>
      <c r="F2126" s="2">
        <v>1</v>
      </c>
      <c r="G2126" s="2">
        <v>1</v>
      </c>
      <c r="H2126" s="2">
        <v>1</v>
      </c>
    </row>
    <row r="2127" spans="1:8" x14ac:dyDescent="0.25">
      <c r="A2127" s="1" t="str">
        <f>"94546"</f>
        <v>94546</v>
      </c>
      <c r="B2127" s="1" t="str">
        <f>"36084"</f>
        <v>36084</v>
      </c>
      <c r="C2127" s="1" t="str">
        <f>"CASTRO VALLEY"</f>
        <v>CASTRO VALLEY</v>
      </c>
      <c r="D2127" s="1" t="str">
        <f t="shared" si="152"/>
        <v>CA</v>
      </c>
      <c r="E2127" s="2">
        <v>1</v>
      </c>
      <c r="F2127" s="2">
        <v>1</v>
      </c>
      <c r="G2127" s="2">
        <v>1</v>
      </c>
      <c r="H2127" s="2">
        <v>1</v>
      </c>
    </row>
    <row r="2128" spans="1:8" x14ac:dyDescent="0.25">
      <c r="A2128" s="1" t="str">
        <f>"94601"</f>
        <v>94601</v>
      </c>
      <c r="B2128" s="1" t="str">
        <f>"36084"</f>
        <v>36084</v>
      </c>
      <c r="C2128" s="1" t="str">
        <f>"OAKLAND"</f>
        <v>OAKLAND</v>
      </c>
      <c r="D2128" s="1" t="str">
        <f t="shared" si="152"/>
        <v>CA</v>
      </c>
      <c r="E2128" s="2">
        <v>1</v>
      </c>
      <c r="F2128" s="2">
        <v>1</v>
      </c>
      <c r="G2128" s="2">
        <v>1</v>
      </c>
      <c r="H2128" s="2">
        <v>1</v>
      </c>
    </row>
    <row r="2129" spans="1:8" x14ac:dyDescent="0.25">
      <c r="A2129" s="1" t="str">
        <f>"98057"</f>
        <v>98057</v>
      </c>
      <c r="B2129" s="1" t="str">
        <f>"42644"</f>
        <v>42644</v>
      </c>
      <c r="C2129" s="1" t="str">
        <f>"RENTON"</f>
        <v>RENTON</v>
      </c>
      <c r="D2129" s="1" t="str">
        <f>"WA"</f>
        <v>WA</v>
      </c>
      <c r="E2129" s="2">
        <v>1</v>
      </c>
      <c r="F2129" s="2">
        <v>1</v>
      </c>
      <c r="G2129" s="2">
        <v>1</v>
      </c>
      <c r="H2129" s="2">
        <v>1</v>
      </c>
    </row>
    <row r="2130" spans="1:8" x14ac:dyDescent="0.25">
      <c r="A2130" s="1" t="str">
        <f>"98371"</f>
        <v>98371</v>
      </c>
      <c r="B2130" s="1" t="str">
        <f>"45104"</f>
        <v>45104</v>
      </c>
      <c r="C2130" s="1" t="str">
        <f>"PUYALLUP"</f>
        <v>PUYALLUP</v>
      </c>
      <c r="D2130" s="1" t="str">
        <f>"WA"</f>
        <v>WA</v>
      </c>
      <c r="E2130" s="2">
        <v>1</v>
      </c>
      <c r="F2130" s="2">
        <v>1</v>
      </c>
      <c r="G2130" s="2">
        <v>1</v>
      </c>
      <c r="H2130" s="2">
        <v>1</v>
      </c>
    </row>
    <row r="2131" spans="1:8" x14ac:dyDescent="0.25">
      <c r="A2131" s="1" t="str">
        <f>"98155"</f>
        <v>98155</v>
      </c>
      <c r="B2131" s="1" t="str">
        <f>"42644"</f>
        <v>42644</v>
      </c>
      <c r="C2131" s="1" t="str">
        <f>"SEATTLE"</f>
        <v>SEATTLE</v>
      </c>
      <c r="D2131" s="1" t="str">
        <f>"WA"</f>
        <v>WA</v>
      </c>
      <c r="E2131" s="2">
        <v>1</v>
      </c>
      <c r="F2131" s="2">
        <v>1</v>
      </c>
      <c r="G2131" s="2">
        <v>1</v>
      </c>
      <c r="H2131" s="2">
        <v>1</v>
      </c>
    </row>
    <row r="2132" spans="1:8" x14ac:dyDescent="0.25">
      <c r="A2132" s="1" t="str">
        <f>"08007"</f>
        <v>08007</v>
      </c>
      <c r="B2132" s="1" t="str">
        <f>"15804"</f>
        <v>15804</v>
      </c>
      <c r="C2132" s="1" t="str">
        <f>"BARRINGTON"</f>
        <v>BARRINGTON</v>
      </c>
      <c r="D2132" s="1" t="str">
        <f>"NJ"</f>
        <v>NJ</v>
      </c>
      <c r="E2132" s="2">
        <v>1</v>
      </c>
      <c r="F2132" s="2">
        <v>1</v>
      </c>
      <c r="G2132" s="2">
        <v>1</v>
      </c>
      <c r="H2132" s="2">
        <v>1</v>
      </c>
    </row>
    <row r="2133" spans="1:8" x14ac:dyDescent="0.25">
      <c r="A2133" s="1" t="str">
        <f>"08347"</f>
        <v>08347</v>
      </c>
      <c r="B2133" s="1" t="str">
        <f>"48864"</f>
        <v>48864</v>
      </c>
      <c r="C2133" s="1" t="str">
        <f>"NORMA"</f>
        <v>NORMA</v>
      </c>
      <c r="D2133" s="1" t="str">
        <f>"NJ"</f>
        <v>NJ</v>
      </c>
      <c r="E2133" s="2">
        <v>1</v>
      </c>
      <c r="F2133" s="2">
        <v>1</v>
      </c>
      <c r="G2133" s="2">
        <v>1</v>
      </c>
      <c r="H2133" s="2">
        <v>1</v>
      </c>
    </row>
    <row r="2134" spans="1:8" x14ac:dyDescent="0.25">
      <c r="A2134" s="1" t="str">
        <f>"19492"</f>
        <v>19492</v>
      </c>
      <c r="B2134" s="1" t="str">
        <f>"33874"</f>
        <v>33874</v>
      </c>
      <c r="C2134" s="1" t="str">
        <f>"ZIEGLERVILLE"</f>
        <v>ZIEGLERVILLE</v>
      </c>
      <c r="D2134" s="1" t="str">
        <f>"PA"</f>
        <v>PA</v>
      </c>
      <c r="E2134" s="2">
        <v>1</v>
      </c>
      <c r="F2134" s="2">
        <v>1</v>
      </c>
      <c r="G2134" s="2">
        <v>1</v>
      </c>
      <c r="H2134" s="2">
        <v>1</v>
      </c>
    </row>
    <row r="2135" spans="1:8" x14ac:dyDescent="0.25">
      <c r="A2135" s="1" t="str">
        <f>"20310"</f>
        <v>20310</v>
      </c>
      <c r="B2135" s="1" t="str">
        <f>"47894"</f>
        <v>47894</v>
      </c>
      <c r="C2135" s="1" t="str">
        <f>"WASHINGTON"</f>
        <v>WASHINGTON</v>
      </c>
      <c r="D2135" s="1" t="str">
        <f>"DC"</f>
        <v>DC</v>
      </c>
      <c r="E2135" s="2">
        <v>0</v>
      </c>
      <c r="F2135" s="2">
        <v>1</v>
      </c>
      <c r="G2135" s="2">
        <v>0</v>
      </c>
      <c r="H2135" s="2">
        <v>1</v>
      </c>
    </row>
    <row r="2136" spans="1:8" x14ac:dyDescent="0.25">
      <c r="A2136" s="1" t="str">
        <f>"20918"</f>
        <v>20918</v>
      </c>
      <c r="B2136" s="1" t="str">
        <f>"23224"</f>
        <v>23224</v>
      </c>
      <c r="C2136" s="1" t="str">
        <f>"SILVER SPRING"</f>
        <v>SILVER SPRING</v>
      </c>
      <c r="D2136" s="1" t="str">
        <f>"MD"</f>
        <v>MD</v>
      </c>
      <c r="E2136" s="2">
        <v>1</v>
      </c>
      <c r="F2136" s="2">
        <v>1</v>
      </c>
      <c r="G2136" s="2">
        <v>1</v>
      </c>
      <c r="H2136" s="2">
        <v>1</v>
      </c>
    </row>
    <row r="2137" spans="1:8" x14ac:dyDescent="0.25">
      <c r="A2137" s="1" t="str">
        <f>"22463"</f>
        <v>22463</v>
      </c>
      <c r="B2137" s="1" t="str">
        <f>"47894"</f>
        <v>47894</v>
      </c>
      <c r="C2137" s="1" t="str">
        <f>"GARRISONVILLE"</f>
        <v>GARRISONVILLE</v>
      </c>
      <c r="D2137" s="1" t="str">
        <f>"VA"</f>
        <v>VA</v>
      </c>
      <c r="E2137" s="2">
        <v>1</v>
      </c>
      <c r="F2137" s="2">
        <v>1</v>
      </c>
      <c r="G2137" s="2">
        <v>1</v>
      </c>
      <c r="H2137" s="2">
        <v>1</v>
      </c>
    </row>
    <row r="2138" spans="1:8" x14ac:dyDescent="0.25">
      <c r="A2138" s="1" t="str">
        <f>"22733"</f>
        <v>22733</v>
      </c>
      <c r="B2138" s="1" t="str">
        <f>"47894"</f>
        <v>47894</v>
      </c>
      <c r="C2138" s="1" t="str">
        <f>"RAPIDAN"</f>
        <v>RAPIDAN</v>
      </c>
      <c r="D2138" s="1" t="str">
        <f>"VA"</f>
        <v>VA</v>
      </c>
      <c r="E2138" s="2">
        <v>1</v>
      </c>
      <c r="F2138" s="2">
        <v>1</v>
      </c>
      <c r="G2138" s="2">
        <v>1</v>
      </c>
      <c r="H2138" s="2">
        <v>1</v>
      </c>
    </row>
    <row r="2139" spans="1:8" x14ac:dyDescent="0.25">
      <c r="A2139" s="1" t="str">
        <f>"33335"</f>
        <v>33335</v>
      </c>
      <c r="B2139" s="1" t="str">
        <f>"22744"</f>
        <v>22744</v>
      </c>
      <c r="C2139" s="1" t="str">
        <f>"FORT LAUDERDALE"</f>
        <v>FORT LAUDERDALE</v>
      </c>
      <c r="D2139" s="1" t="str">
        <f>"FL"</f>
        <v>FL</v>
      </c>
      <c r="E2139" s="2">
        <v>1</v>
      </c>
      <c r="F2139" s="2">
        <v>1</v>
      </c>
      <c r="G2139" s="2">
        <v>1</v>
      </c>
      <c r="H2139" s="2">
        <v>1</v>
      </c>
    </row>
    <row r="2140" spans="1:8" x14ac:dyDescent="0.25">
      <c r="A2140" s="1" t="str">
        <f>"60184"</f>
        <v>60184</v>
      </c>
      <c r="B2140" s="1" t="str">
        <f>"20994"</f>
        <v>20994</v>
      </c>
      <c r="C2140" s="1" t="str">
        <f>"WAYNE"</f>
        <v>WAYNE</v>
      </c>
      <c r="D2140" s="1" t="str">
        <f>"IL"</f>
        <v>IL</v>
      </c>
      <c r="E2140" s="2">
        <v>0.38655462184873901</v>
      </c>
      <c r="F2140" s="2">
        <v>7.1428571428571397E-2</v>
      </c>
      <c r="G2140" s="2">
        <v>0.41176470588235198</v>
      </c>
      <c r="H2140" s="2">
        <v>0.382502543234994</v>
      </c>
    </row>
    <row r="2141" spans="1:8" x14ac:dyDescent="0.25">
      <c r="A2141" s="1" t="str">
        <f>"60184"</f>
        <v>60184</v>
      </c>
      <c r="B2141" s="1" t="str">
        <f>"16984"</f>
        <v>16984</v>
      </c>
      <c r="C2141" s="1" t="str">
        <f>"WAYNE"</f>
        <v>WAYNE</v>
      </c>
      <c r="D2141" s="1" t="str">
        <f>"IL"</f>
        <v>IL</v>
      </c>
      <c r="E2141" s="2">
        <v>0.61344537815125999</v>
      </c>
      <c r="F2141" s="2">
        <v>0.92857142857142805</v>
      </c>
      <c r="G2141" s="2">
        <v>0.58823529411764697</v>
      </c>
      <c r="H2141" s="2">
        <v>0.617497456765005</v>
      </c>
    </row>
    <row r="2142" spans="1:8" x14ac:dyDescent="0.25">
      <c r="A2142" s="1" t="str">
        <f>"60208"</f>
        <v>60208</v>
      </c>
      <c r="B2142" s="1" t="str">
        <f>"16984"</f>
        <v>16984</v>
      </c>
      <c r="C2142" s="1" t="str">
        <f>"EVANSTON"</f>
        <v>EVANSTON</v>
      </c>
      <c r="D2142" s="1" t="str">
        <f>"IL"</f>
        <v>IL</v>
      </c>
      <c r="E2142" s="2">
        <v>0</v>
      </c>
      <c r="F2142" s="2">
        <v>1</v>
      </c>
      <c r="G2142" s="2">
        <v>1</v>
      </c>
      <c r="H2142" s="2">
        <v>1</v>
      </c>
    </row>
    <row r="2143" spans="1:8" x14ac:dyDescent="0.25">
      <c r="A2143" s="1" t="str">
        <f>"91394"</f>
        <v>91394</v>
      </c>
      <c r="B2143" s="1" t="str">
        <f>"31084"</f>
        <v>31084</v>
      </c>
      <c r="C2143" s="1" t="str">
        <f>"GRANADA HILLS"</f>
        <v>GRANADA HILLS</v>
      </c>
      <c r="D2143" s="1" t="str">
        <f>"CA"</f>
        <v>CA</v>
      </c>
      <c r="E2143" s="2">
        <v>1</v>
      </c>
      <c r="F2143" s="2">
        <v>1</v>
      </c>
      <c r="G2143" s="2">
        <v>1</v>
      </c>
      <c r="H2143" s="2">
        <v>1</v>
      </c>
    </row>
    <row r="2144" spans="1:8" x14ac:dyDescent="0.25">
      <c r="A2144" s="1" t="str">
        <f>"93560"</f>
        <v>93560</v>
      </c>
      <c r="B2144" s="1" t="str">
        <f>"31084"</f>
        <v>31084</v>
      </c>
      <c r="C2144" s="1" t="str">
        <f>"ROSAMOND"</f>
        <v>ROSAMOND</v>
      </c>
      <c r="D2144" s="1" t="str">
        <f>"CA"</f>
        <v>CA</v>
      </c>
      <c r="E2144" s="2">
        <v>1</v>
      </c>
      <c r="F2144" s="2">
        <v>1</v>
      </c>
      <c r="G2144" s="2">
        <v>0</v>
      </c>
      <c r="H2144" s="2">
        <v>1</v>
      </c>
    </row>
    <row r="2145" spans="1:8" x14ac:dyDescent="0.25">
      <c r="A2145" s="1" t="str">
        <f>"01961"</f>
        <v>01961</v>
      </c>
      <c r="B2145" s="1" t="str">
        <f>"15764"</f>
        <v>15764</v>
      </c>
      <c r="C2145" s="1" t="str">
        <f>"PEABODY"</f>
        <v>PEABODY</v>
      </c>
      <c r="D2145" s="1" t="str">
        <f>"MA"</f>
        <v>MA</v>
      </c>
      <c r="E2145" s="2">
        <v>1</v>
      </c>
      <c r="F2145" s="2">
        <v>1</v>
      </c>
      <c r="G2145" s="2">
        <v>1</v>
      </c>
      <c r="H2145" s="2">
        <v>1</v>
      </c>
    </row>
    <row r="2146" spans="1:8" x14ac:dyDescent="0.25">
      <c r="A2146" s="1" t="str">
        <f>"03826"</f>
        <v>03826</v>
      </c>
      <c r="B2146" s="1" t="str">
        <f>"40484"</f>
        <v>40484</v>
      </c>
      <c r="C2146" s="1" t="str">
        <f>"EAST HAMPSTEAD"</f>
        <v>EAST HAMPSTEAD</v>
      </c>
      <c r="D2146" s="1" t="str">
        <f>"NH"</f>
        <v>NH</v>
      </c>
      <c r="E2146" s="2">
        <v>1</v>
      </c>
      <c r="F2146" s="2">
        <v>1</v>
      </c>
      <c r="G2146" s="2">
        <v>1</v>
      </c>
      <c r="H2146" s="2">
        <v>1</v>
      </c>
    </row>
    <row r="2147" spans="1:8" x14ac:dyDescent="0.25">
      <c r="A2147" s="1" t="str">
        <f>"07662"</f>
        <v>07662</v>
      </c>
      <c r="B2147" s="1" t="str">
        <f>"35614"</f>
        <v>35614</v>
      </c>
      <c r="C2147" s="1" t="str">
        <f>"ROCHELLE PARK"</f>
        <v>ROCHELLE PARK</v>
      </c>
      <c r="D2147" s="1" t="str">
        <f>"NJ"</f>
        <v>NJ</v>
      </c>
      <c r="E2147" s="2">
        <v>1</v>
      </c>
      <c r="F2147" s="2">
        <v>1</v>
      </c>
      <c r="G2147" s="2">
        <v>1</v>
      </c>
      <c r="H2147" s="2">
        <v>1</v>
      </c>
    </row>
    <row r="2148" spans="1:8" x14ac:dyDescent="0.25">
      <c r="A2148" s="1" t="str">
        <f>"07882"</f>
        <v>07882</v>
      </c>
      <c r="B2148" s="1" t="str">
        <f>"35084"</f>
        <v>35084</v>
      </c>
      <c r="C2148" s="1" t="str">
        <f>"WASHINGTON"</f>
        <v>WASHINGTON</v>
      </c>
      <c r="D2148" s="1" t="str">
        <f>"NJ"</f>
        <v>NJ</v>
      </c>
      <c r="E2148" s="2">
        <v>1</v>
      </c>
      <c r="F2148" s="2">
        <v>1</v>
      </c>
      <c r="G2148" s="2">
        <v>1</v>
      </c>
      <c r="H2148" s="2">
        <v>1</v>
      </c>
    </row>
    <row r="2149" spans="1:8" x14ac:dyDescent="0.25">
      <c r="A2149" s="1" t="str">
        <f>"10931"</f>
        <v>10931</v>
      </c>
      <c r="B2149" s="1" t="str">
        <f>"35614"</f>
        <v>35614</v>
      </c>
      <c r="C2149" s="1" t="str">
        <f>"HILLBURN"</f>
        <v>HILLBURN</v>
      </c>
      <c r="D2149" s="1" t="str">
        <f>"NY"</f>
        <v>NY</v>
      </c>
      <c r="E2149" s="2">
        <v>1</v>
      </c>
      <c r="F2149" s="2">
        <v>1</v>
      </c>
      <c r="G2149" s="2">
        <v>1</v>
      </c>
      <c r="H2149" s="2">
        <v>1</v>
      </c>
    </row>
    <row r="2150" spans="1:8" x14ac:dyDescent="0.25">
      <c r="A2150" s="1" t="str">
        <f>"33416"</f>
        <v>33416</v>
      </c>
      <c r="B2150" s="1" t="str">
        <f>"48424"</f>
        <v>48424</v>
      </c>
      <c r="C2150" s="1" t="str">
        <f>"WEST PALM BEACH"</f>
        <v>WEST PALM BEACH</v>
      </c>
      <c r="D2150" s="1" t="str">
        <f>"FL"</f>
        <v>FL</v>
      </c>
      <c r="E2150" s="2">
        <v>1</v>
      </c>
      <c r="F2150" s="2">
        <v>1</v>
      </c>
      <c r="G2150" s="2">
        <v>1</v>
      </c>
      <c r="H2150" s="2">
        <v>1</v>
      </c>
    </row>
    <row r="2151" spans="1:8" x14ac:dyDescent="0.25">
      <c r="A2151" s="1" t="str">
        <f>"53403"</f>
        <v>53403</v>
      </c>
      <c r="B2151" s="1" t="str">
        <f>"29404"</f>
        <v>29404</v>
      </c>
      <c r="C2151" s="1" t="str">
        <f>"RACINE"</f>
        <v>RACINE</v>
      </c>
      <c r="D2151" s="1" t="str">
        <f>"WI"</f>
        <v>WI</v>
      </c>
      <c r="E2151" s="2">
        <v>1</v>
      </c>
      <c r="F2151" s="2">
        <v>1</v>
      </c>
      <c r="G2151" s="2">
        <v>1</v>
      </c>
      <c r="H2151" s="2">
        <v>1</v>
      </c>
    </row>
    <row r="2152" spans="1:8" x14ac:dyDescent="0.25">
      <c r="A2152" s="1" t="str">
        <f>"60079"</f>
        <v>60079</v>
      </c>
      <c r="B2152" s="1" t="str">
        <f>"29404"</f>
        <v>29404</v>
      </c>
      <c r="C2152" s="1" t="str">
        <f>"WAUKEGAN"</f>
        <v>WAUKEGAN</v>
      </c>
      <c r="D2152" s="1" t="str">
        <f>"IL"</f>
        <v>IL</v>
      </c>
      <c r="E2152" s="2">
        <v>1</v>
      </c>
      <c r="F2152" s="2">
        <v>1</v>
      </c>
      <c r="G2152" s="2">
        <v>1</v>
      </c>
      <c r="H2152" s="2">
        <v>1</v>
      </c>
    </row>
    <row r="2153" spans="1:8" x14ac:dyDescent="0.25">
      <c r="A2153" s="1" t="str">
        <f>"75027"</f>
        <v>75027</v>
      </c>
      <c r="B2153" s="1" t="str">
        <f>"19124"</f>
        <v>19124</v>
      </c>
      <c r="C2153" s="1" t="str">
        <f>"FLOWER MOUND"</f>
        <v>FLOWER MOUND</v>
      </c>
      <c r="D2153" s="1" t="str">
        <f>"TX"</f>
        <v>TX</v>
      </c>
      <c r="E2153" s="2">
        <v>1</v>
      </c>
      <c r="F2153" s="2">
        <v>1</v>
      </c>
      <c r="G2153" s="2">
        <v>1</v>
      </c>
      <c r="H2153" s="2">
        <v>1</v>
      </c>
    </row>
    <row r="2154" spans="1:8" x14ac:dyDescent="0.25">
      <c r="A2154" s="1" t="str">
        <f>"98256"</f>
        <v>98256</v>
      </c>
      <c r="B2154" s="1" t="str">
        <f>"42644"</f>
        <v>42644</v>
      </c>
      <c r="C2154" s="1" t="str">
        <f>"INDEX"</f>
        <v>INDEX</v>
      </c>
      <c r="D2154" s="1" t="str">
        <f>"WA"</f>
        <v>WA</v>
      </c>
      <c r="E2154" s="2">
        <v>0</v>
      </c>
      <c r="F2154" s="2">
        <v>1</v>
      </c>
      <c r="G2154" s="2">
        <v>1</v>
      </c>
      <c r="H2154" s="2">
        <v>1</v>
      </c>
    </row>
    <row r="2155" spans="1:8" x14ac:dyDescent="0.25">
      <c r="A2155" s="1" t="str">
        <f>"03887"</f>
        <v>03887</v>
      </c>
      <c r="B2155" s="1" t="str">
        <f>"40484"</f>
        <v>40484</v>
      </c>
      <c r="C2155" s="1" t="str">
        <f>"UNION"</f>
        <v>UNION</v>
      </c>
      <c r="D2155" s="1" t="str">
        <f>"NH"</f>
        <v>NH</v>
      </c>
      <c r="E2155" s="2">
        <v>1</v>
      </c>
      <c r="F2155" s="2">
        <v>1</v>
      </c>
      <c r="G2155" s="2">
        <v>0</v>
      </c>
      <c r="H2155" s="2">
        <v>1</v>
      </c>
    </row>
    <row r="2156" spans="1:8" x14ac:dyDescent="0.25">
      <c r="A2156" s="1" t="str">
        <f>"20859"</f>
        <v>20859</v>
      </c>
      <c r="B2156" s="1" t="str">
        <f>"23224"</f>
        <v>23224</v>
      </c>
      <c r="C2156" s="1" t="str">
        <f>"POTOMAC"</f>
        <v>POTOMAC</v>
      </c>
      <c r="D2156" s="1" t="str">
        <f>"MD"</f>
        <v>MD</v>
      </c>
      <c r="E2156" s="2">
        <v>1</v>
      </c>
      <c r="F2156" s="2">
        <v>1</v>
      </c>
      <c r="G2156" s="2">
        <v>1</v>
      </c>
      <c r="H2156" s="2">
        <v>1</v>
      </c>
    </row>
    <row r="2157" spans="1:8" x14ac:dyDescent="0.25">
      <c r="A2157" s="1" t="str">
        <f>"22106"</f>
        <v>22106</v>
      </c>
      <c r="B2157" s="1" t="str">
        <f>"47894"</f>
        <v>47894</v>
      </c>
      <c r="C2157" s="1" t="str">
        <f>"MC LEAN"</f>
        <v>MC LEAN</v>
      </c>
      <c r="D2157" s="1" t="str">
        <f>"VA"</f>
        <v>VA</v>
      </c>
      <c r="E2157" s="2">
        <v>1</v>
      </c>
      <c r="F2157" s="2">
        <v>1</v>
      </c>
      <c r="G2157" s="2">
        <v>1</v>
      </c>
      <c r="H2157" s="2">
        <v>1</v>
      </c>
    </row>
    <row r="2158" spans="1:8" x14ac:dyDescent="0.25">
      <c r="A2158" s="1" t="str">
        <f>"76004"</f>
        <v>76004</v>
      </c>
      <c r="B2158" s="1" t="str">
        <f>"23104"</f>
        <v>23104</v>
      </c>
      <c r="C2158" s="1" t="str">
        <f>"ARLINGTON"</f>
        <v>ARLINGTON</v>
      </c>
      <c r="D2158" s="1" t="str">
        <f>"TX"</f>
        <v>TX</v>
      </c>
      <c r="E2158" s="2">
        <v>1</v>
      </c>
      <c r="F2158" s="2">
        <v>1</v>
      </c>
      <c r="G2158" s="2">
        <v>1</v>
      </c>
      <c r="H2158" s="2">
        <v>1</v>
      </c>
    </row>
    <row r="2159" spans="1:8" x14ac:dyDescent="0.25">
      <c r="A2159" s="1" t="str">
        <f>"91802"</f>
        <v>91802</v>
      </c>
      <c r="B2159" s="1" t="str">
        <f>"31084"</f>
        <v>31084</v>
      </c>
      <c r="C2159" s="1" t="str">
        <f>"ALHAMBRA"</f>
        <v>ALHAMBRA</v>
      </c>
      <c r="D2159" s="1" t="str">
        <f>"CA"</f>
        <v>CA</v>
      </c>
      <c r="E2159" s="2">
        <v>1</v>
      </c>
      <c r="F2159" s="2">
        <v>1</v>
      </c>
      <c r="G2159" s="2">
        <v>1</v>
      </c>
      <c r="H2159" s="2">
        <v>1</v>
      </c>
    </row>
    <row r="2160" spans="1:8" x14ac:dyDescent="0.25">
      <c r="A2160" s="1" t="str">
        <f>"18445"</f>
        <v>18445</v>
      </c>
      <c r="B2160" s="1" t="str">
        <f>"35084"</f>
        <v>35084</v>
      </c>
      <c r="C2160" s="1" t="str">
        <f>"NEWFOUNDLAND"</f>
        <v>NEWFOUNDLAND</v>
      </c>
      <c r="D2160" s="1" t="str">
        <f>"PA"</f>
        <v>PA</v>
      </c>
      <c r="E2160" s="2">
        <v>1</v>
      </c>
      <c r="F2160" s="2">
        <v>1</v>
      </c>
      <c r="G2160" s="2">
        <v>1</v>
      </c>
      <c r="H2160" s="2">
        <v>1</v>
      </c>
    </row>
    <row r="2161" spans="1:8" x14ac:dyDescent="0.25">
      <c r="A2161" s="1" t="str">
        <f>"94119"</f>
        <v>94119</v>
      </c>
      <c r="B2161" s="1" t="str">
        <f>"41884"</f>
        <v>41884</v>
      </c>
      <c r="C2161" s="1" t="str">
        <f>"SAN FRANCISCO"</f>
        <v>SAN FRANCISCO</v>
      </c>
      <c r="D2161" s="1" t="str">
        <f>"CA"</f>
        <v>CA</v>
      </c>
      <c r="E2161" s="2">
        <v>1</v>
      </c>
      <c r="F2161" s="2">
        <v>1</v>
      </c>
      <c r="G2161" s="2">
        <v>1</v>
      </c>
      <c r="H2161" s="2">
        <v>1</v>
      </c>
    </row>
    <row r="2162" spans="1:8" x14ac:dyDescent="0.25">
      <c r="A2162" s="1" t="str">
        <f>"60006"</f>
        <v>60006</v>
      </c>
      <c r="B2162" s="1" t="str">
        <f>"16984"</f>
        <v>16984</v>
      </c>
      <c r="C2162" s="1" t="str">
        <f>"ARLINGTON HEIGHTS"</f>
        <v>ARLINGTON HEIGHTS</v>
      </c>
      <c r="D2162" s="1" t="str">
        <f>"IL"</f>
        <v>IL</v>
      </c>
      <c r="E2162" s="2">
        <v>1</v>
      </c>
      <c r="F2162" s="2">
        <v>1</v>
      </c>
      <c r="G2162" s="2">
        <v>1</v>
      </c>
      <c r="H2162" s="2">
        <v>1</v>
      </c>
    </row>
    <row r="2163" spans="1:8" x14ac:dyDescent="0.25">
      <c r="A2163" s="1" t="str">
        <f>"03291"</f>
        <v>03291</v>
      </c>
      <c r="B2163" s="1" t="str">
        <f>"40484"</f>
        <v>40484</v>
      </c>
      <c r="C2163" s="1" t="str">
        <f>"WEST NOTTINGHAM"</f>
        <v>WEST NOTTINGHAM</v>
      </c>
      <c r="D2163" s="1" t="str">
        <f>"NH"</f>
        <v>NH</v>
      </c>
      <c r="E2163" s="2">
        <v>1</v>
      </c>
      <c r="F2163" s="2">
        <v>1</v>
      </c>
      <c r="G2163" s="2">
        <v>1</v>
      </c>
      <c r="H2163" s="2">
        <v>1</v>
      </c>
    </row>
    <row r="2164" spans="1:8" x14ac:dyDescent="0.25">
      <c r="A2164" s="1" t="str">
        <f>"90307"</f>
        <v>90307</v>
      </c>
      <c r="B2164" s="1" t="str">
        <f>"31084"</f>
        <v>31084</v>
      </c>
      <c r="C2164" s="1" t="str">
        <f>"INGLEWOOD"</f>
        <v>INGLEWOOD</v>
      </c>
      <c r="D2164" s="1" t="str">
        <f>"CA"</f>
        <v>CA</v>
      </c>
      <c r="E2164" s="2">
        <v>1</v>
      </c>
      <c r="F2164" s="2">
        <v>1</v>
      </c>
      <c r="G2164" s="2">
        <v>1</v>
      </c>
      <c r="H2164" s="2">
        <v>1</v>
      </c>
    </row>
    <row r="2165" spans="1:8" x14ac:dyDescent="0.25">
      <c r="A2165" s="1" t="str">
        <f>"48451"</f>
        <v>48451</v>
      </c>
      <c r="B2165" s="1" t="str">
        <f>"47664"</f>
        <v>47664</v>
      </c>
      <c r="C2165" s="1" t="str">
        <f>"LINDEN"</f>
        <v>LINDEN</v>
      </c>
      <c r="D2165" s="1" t="str">
        <f>"MI"</f>
        <v>MI</v>
      </c>
      <c r="E2165" s="2">
        <v>1</v>
      </c>
      <c r="F2165" s="2">
        <v>1</v>
      </c>
      <c r="G2165" s="2">
        <v>1</v>
      </c>
      <c r="H2165" s="2">
        <v>1</v>
      </c>
    </row>
    <row r="2166" spans="1:8" x14ac:dyDescent="0.25">
      <c r="A2166" s="1" t="str">
        <f>"19435"</f>
        <v>19435</v>
      </c>
      <c r="B2166" s="1" t="str">
        <f>"33874"</f>
        <v>33874</v>
      </c>
      <c r="C2166" s="1" t="str">
        <f>"FREDERICK"</f>
        <v>FREDERICK</v>
      </c>
      <c r="D2166" s="1" t="str">
        <f>"PA"</f>
        <v>PA</v>
      </c>
      <c r="E2166" s="2">
        <v>1</v>
      </c>
      <c r="F2166" s="2">
        <v>1</v>
      </c>
      <c r="G2166" s="2">
        <v>1</v>
      </c>
      <c r="H2166" s="2">
        <v>1</v>
      </c>
    </row>
    <row r="2167" spans="1:8" x14ac:dyDescent="0.25">
      <c r="A2167" s="1" t="str">
        <f>"07839"</f>
        <v>07839</v>
      </c>
      <c r="B2167" s="1" t="str">
        <f>"35084"</f>
        <v>35084</v>
      </c>
      <c r="C2167" s="1" t="str">
        <f>"GREENDELL"</f>
        <v>GREENDELL</v>
      </c>
      <c r="D2167" s="1" t="str">
        <f>"NJ"</f>
        <v>NJ</v>
      </c>
      <c r="E2167" s="2">
        <v>0</v>
      </c>
      <c r="F2167" s="2">
        <v>0</v>
      </c>
      <c r="G2167" s="2">
        <v>1</v>
      </c>
      <c r="H2167" s="2">
        <v>1</v>
      </c>
    </row>
    <row r="2168" spans="1:8" x14ac:dyDescent="0.25">
      <c r="A2168" s="1" t="str">
        <f>"22135"</f>
        <v>22135</v>
      </c>
      <c r="B2168" s="1" t="str">
        <f t="shared" ref="B2168:B2173" si="154">"47894"</f>
        <v>47894</v>
      </c>
      <c r="C2168" s="1" t="str">
        <f>"QUANTICO"</f>
        <v>QUANTICO</v>
      </c>
      <c r="D2168" s="1" t="str">
        <f>"VA"</f>
        <v>VA</v>
      </c>
      <c r="E2168" s="2">
        <v>0</v>
      </c>
      <c r="F2168" s="2">
        <v>1</v>
      </c>
      <c r="G2168" s="2">
        <v>0</v>
      </c>
      <c r="H2168" s="2">
        <v>1</v>
      </c>
    </row>
    <row r="2169" spans="1:8" x14ac:dyDescent="0.25">
      <c r="A2169" s="1" t="str">
        <f>"22725"</f>
        <v>22725</v>
      </c>
      <c r="B2169" s="1" t="str">
        <f t="shared" si="154"/>
        <v>47894</v>
      </c>
      <c r="C2169" s="1" t="str">
        <f>"LEON"</f>
        <v>LEON</v>
      </c>
      <c r="D2169" s="1" t="str">
        <f>"VA"</f>
        <v>VA</v>
      </c>
      <c r="E2169" s="2">
        <v>1</v>
      </c>
      <c r="F2169" s="2">
        <v>1</v>
      </c>
      <c r="G2169" s="2">
        <v>0</v>
      </c>
      <c r="H2169" s="2">
        <v>1</v>
      </c>
    </row>
    <row r="2170" spans="1:8" x14ac:dyDescent="0.25">
      <c r="A2170" s="1" t="str">
        <f>"20318"</f>
        <v>20318</v>
      </c>
      <c r="B2170" s="1" t="str">
        <f t="shared" si="154"/>
        <v>47894</v>
      </c>
      <c r="C2170" s="1" t="str">
        <f>"WASHINGTON"</f>
        <v>WASHINGTON</v>
      </c>
      <c r="D2170" s="1" t="str">
        <f>"DC"</f>
        <v>DC</v>
      </c>
      <c r="E2170" s="2">
        <v>0</v>
      </c>
      <c r="F2170" s="2">
        <v>1</v>
      </c>
      <c r="G2170" s="2">
        <v>1</v>
      </c>
      <c r="H2170" s="2">
        <v>1</v>
      </c>
    </row>
    <row r="2171" spans="1:8" x14ac:dyDescent="0.25">
      <c r="A2171" s="1" t="str">
        <f>"20406"</f>
        <v>20406</v>
      </c>
      <c r="B2171" s="1" t="str">
        <f t="shared" si="154"/>
        <v>47894</v>
      </c>
      <c r="C2171" s="1" t="str">
        <f>"WASHINGTON"</f>
        <v>WASHINGTON</v>
      </c>
      <c r="D2171" s="1" t="str">
        <f>"DC"</f>
        <v>DC</v>
      </c>
      <c r="E2171" s="2">
        <v>0</v>
      </c>
      <c r="F2171" s="2">
        <v>1</v>
      </c>
      <c r="G2171" s="2">
        <v>0</v>
      </c>
      <c r="H2171" s="2">
        <v>1</v>
      </c>
    </row>
    <row r="2172" spans="1:8" x14ac:dyDescent="0.25">
      <c r="A2172" s="1" t="str">
        <f>"20560"</f>
        <v>20560</v>
      </c>
      <c r="B2172" s="1" t="str">
        <f t="shared" si="154"/>
        <v>47894</v>
      </c>
      <c r="C2172" s="1" t="str">
        <f>"WASHINGTON"</f>
        <v>WASHINGTON</v>
      </c>
      <c r="D2172" s="1" t="str">
        <f>"DC"</f>
        <v>DC</v>
      </c>
      <c r="E2172" s="2">
        <v>0</v>
      </c>
      <c r="F2172" s="2">
        <v>1</v>
      </c>
      <c r="G2172" s="2">
        <v>0</v>
      </c>
      <c r="H2172" s="2">
        <v>1</v>
      </c>
    </row>
    <row r="2173" spans="1:8" x14ac:dyDescent="0.25">
      <c r="A2173" s="1" t="str">
        <f>"20588"</f>
        <v>20588</v>
      </c>
      <c r="B2173" s="1" t="str">
        <f t="shared" si="154"/>
        <v>47894</v>
      </c>
      <c r="C2173" s="1" t="str">
        <f>"DHS"</f>
        <v>DHS</v>
      </c>
      <c r="D2173" s="1" t="str">
        <f>"MD"</f>
        <v>MD</v>
      </c>
      <c r="E2173" s="2">
        <v>0</v>
      </c>
      <c r="F2173" s="2">
        <v>1</v>
      </c>
      <c r="G2173" s="2">
        <v>1</v>
      </c>
      <c r="H2173" s="2">
        <v>1</v>
      </c>
    </row>
    <row r="2174" spans="1:8" x14ac:dyDescent="0.25">
      <c r="A2174" s="1" t="str">
        <f>"53101"</f>
        <v>53101</v>
      </c>
      <c r="B2174" s="1" t="str">
        <f>"29404"</f>
        <v>29404</v>
      </c>
      <c r="C2174" s="1" t="str">
        <f>"BASSETT"</f>
        <v>BASSETT</v>
      </c>
      <c r="D2174" s="1" t="str">
        <f>"WI"</f>
        <v>WI</v>
      </c>
      <c r="E2174" s="2">
        <v>0</v>
      </c>
      <c r="F2174" s="2">
        <v>0</v>
      </c>
      <c r="G2174" s="2">
        <v>1</v>
      </c>
      <c r="H2174" s="2">
        <v>1</v>
      </c>
    </row>
    <row r="2175" spans="1:8" x14ac:dyDescent="0.25">
      <c r="A2175" s="1" t="str">
        <f>"20643"</f>
        <v>20643</v>
      </c>
      <c r="B2175" s="1" t="str">
        <f>"47894"</f>
        <v>47894</v>
      </c>
      <c r="C2175" s="1" t="str">
        <f>"IRONSIDES"</f>
        <v>IRONSIDES</v>
      </c>
      <c r="D2175" s="1" t="str">
        <f>"MD"</f>
        <v>MD</v>
      </c>
      <c r="E2175" s="2">
        <v>0</v>
      </c>
      <c r="F2175" s="2">
        <v>0</v>
      </c>
      <c r="G2175" s="2">
        <v>1</v>
      </c>
      <c r="H2175" s="2">
        <v>1</v>
      </c>
    </row>
    <row r="2176" spans="1:8" x14ac:dyDescent="0.25">
      <c r="A2176" s="1" t="str">
        <f>"25404"</f>
        <v>25404</v>
      </c>
      <c r="B2176" s="1" t="str">
        <f>"47894"</f>
        <v>47894</v>
      </c>
      <c r="C2176" s="1" t="str">
        <f>"MARTINSBURG"</f>
        <v>MARTINSBURG</v>
      </c>
      <c r="D2176" s="1" t="str">
        <f>"WV"</f>
        <v>WV</v>
      </c>
      <c r="E2176" s="2">
        <v>1</v>
      </c>
      <c r="F2176" s="2">
        <v>0</v>
      </c>
      <c r="G2176" s="2">
        <v>0</v>
      </c>
      <c r="H2176" s="2">
        <v>1</v>
      </c>
    </row>
    <row r="2177" spans="1:8" x14ac:dyDescent="0.25">
      <c r="A2177" s="1" t="str">
        <f>"91182"</f>
        <v>91182</v>
      </c>
      <c r="B2177" s="1" t="str">
        <f>"31084"</f>
        <v>31084</v>
      </c>
      <c r="C2177" s="1" t="str">
        <f>"PASADENA"</f>
        <v>PASADENA</v>
      </c>
      <c r="D2177" s="1" t="str">
        <f>"CA"</f>
        <v>CA</v>
      </c>
      <c r="E2177" s="2">
        <v>0</v>
      </c>
      <c r="F2177" s="2">
        <v>1</v>
      </c>
      <c r="G2177" s="2">
        <v>0</v>
      </c>
      <c r="H2177" s="2">
        <v>1</v>
      </c>
    </row>
    <row r="2178" spans="1:8" x14ac:dyDescent="0.25">
      <c r="A2178" s="1" t="str">
        <f>"90509"</f>
        <v>90509</v>
      </c>
      <c r="B2178" s="1" t="str">
        <f>"31084"</f>
        <v>31084</v>
      </c>
      <c r="C2178" s="1" t="str">
        <f>"TORRANCE"</f>
        <v>TORRANCE</v>
      </c>
      <c r="D2178" s="1" t="str">
        <f>"CA"</f>
        <v>CA</v>
      </c>
      <c r="E2178" s="2">
        <v>0</v>
      </c>
      <c r="F2178" s="2">
        <v>0</v>
      </c>
      <c r="G2178" s="2">
        <v>1</v>
      </c>
      <c r="H2178" s="2">
        <v>1</v>
      </c>
    </row>
    <row r="2179" spans="1:8" x14ac:dyDescent="0.25">
      <c r="A2179" s="1" t="str">
        <f>"10610"</f>
        <v>10610</v>
      </c>
      <c r="B2179" s="1" t="str">
        <f>"35614"</f>
        <v>35614</v>
      </c>
      <c r="C2179" s="1" t="str">
        <f>"WHITE PLAINS"</f>
        <v>WHITE PLAINS</v>
      </c>
      <c r="D2179" s="1" t="str">
        <f>"NY"</f>
        <v>NY</v>
      </c>
      <c r="E2179" s="2">
        <v>0</v>
      </c>
      <c r="F2179" s="2">
        <v>1</v>
      </c>
      <c r="G2179" s="2">
        <v>0</v>
      </c>
      <c r="H2179" s="2">
        <v>1</v>
      </c>
    </row>
    <row r="2180" spans="1:8" x14ac:dyDescent="0.25">
      <c r="A2180" s="1" t="str">
        <f>"10043"</f>
        <v>10043</v>
      </c>
      <c r="B2180" s="1" t="str">
        <f>"35614"</f>
        <v>35614</v>
      </c>
      <c r="C2180" s="1" t="str">
        <f>"NEW YORK"</f>
        <v>NEW YORK</v>
      </c>
      <c r="D2180" s="1" t="str">
        <f>"NY"</f>
        <v>NY</v>
      </c>
      <c r="E2180" s="2">
        <v>0</v>
      </c>
      <c r="F2180" s="2">
        <v>1</v>
      </c>
      <c r="G2180" s="2">
        <v>1</v>
      </c>
      <c r="H2180" s="2">
        <v>1</v>
      </c>
    </row>
    <row r="2181" spans="1:8" x14ac:dyDescent="0.25">
      <c r="A2181" s="1" t="str">
        <f>"90624"</f>
        <v>90624</v>
      </c>
      <c r="B2181" s="1" t="str">
        <f>"11244"</f>
        <v>11244</v>
      </c>
      <c r="C2181" s="1" t="str">
        <f>"BUENA PARK"</f>
        <v>BUENA PARK</v>
      </c>
      <c r="D2181" s="1" t="str">
        <f>"CA"</f>
        <v>CA</v>
      </c>
      <c r="E2181" s="2">
        <v>0</v>
      </c>
      <c r="F2181" s="2">
        <v>0</v>
      </c>
      <c r="G2181" s="2">
        <v>1</v>
      </c>
      <c r="H2181" s="2">
        <v>1</v>
      </c>
    </row>
    <row r="2182" spans="1:8" x14ac:dyDescent="0.25">
      <c r="A2182" s="1" t="str">
        <f>"20410"</f>
        <v>20410</v>
      </c>
      <c r="B2182" s="1" t="str">
        <f>"47894"</f>
        <v>47894</v>
      </c>
      <c r="C2182" s="1" t="str">
        <f>"WASHINGTON"</f>
        <v>WASHINGTON</v>
      </c>
      <c r="D2182" s="1" t="str">
        <f>"DC"</f>
        <v>DC</v>
      </c>
      <c r="E2182" s="2">
        <v>0</v>
      </c>
      <c r="F2182" s="2">
        <v>1</v>
      </c>
      <c r="G2182" s="2">
        <v>0</v>
      </c>
      <c r="H2182" s="2">
        <v>1</v>
      </c>
    </row>
    <row r="2183" spans="1:8" x14ac:dyDescent="0.25">
      <c r="A2183" s="1" t="str">
        <f>"60095"</f>
        <v>60095</v>
      </c>
      <c r="B2183" s="1" t="str">
        <f>"16984"</f>
        <v>16984</v>
      </c>
      <c r="C2183" s="1" t="str">
        <f>"PALATINE"</f>
        <v>PALATINE</v>
      </c>
      <c r="D2183" s="1" t="str">
        <f>"IL"</f>
        <v>IL</v>
      </c>
      <c r="E2183" s="2">
        <v>0</v>
      </c>
      <c r="F2183" s="2">
        <v>0</v>
      </c>
      <c r="G2183" s="2">
        <v>1</v>
      </c>
      <c r="H2183" s="2">
        <v>1</v>
      </c>
    </row>
    <row r="2184" spans="1:8" x14ac:dyDescent="0.25">
      <c r="A2184" s="1" t="str">
        <f>"08074"</f>
        <v>08074</v>
      </c>
      <c r="B2184" s="1" t="str">
        <f>"15804"</f>
        <v>15804</v>
      </c>
      <c r="C2184" s="1" t="str">
        <f>"RICHWOOD"</f>
        <v>RICHWOOD</v>
      </c>
      <c r="D2184" s="1" t="str">
        <f>"NJ"</f>
        <v>NJ</v>
      </c>
      <c r="E2184" s="2">
        <v>0</v>
      </c>
      <c r="F2184" s="2">
        <v>0</v>
      </c>
      <c r="G2184" s="2">
        <v>1</v>
      </c>
      <c r="H2184" s="2">
        <v>1</v>
      </c>
    </row>
    <row r="2185" spans="1:8" x14ac:dyDescent="0.25">
      <c r="A2185" s="1" t="str">
        <f>"07699"</f>
        <v>07699</v>
      </c>
      <c r="B2185" s="1" t="str">
        <f>"35614"</f>
        <v>35614</v>
      </c>
      <c r="C2185" s="1" t="str">
        <f>"TETERBORO"</f>
        <v>TETERBORO</v>
      </c>
      <c r="D2185" s="1" t="str">
        <f>"NJ"</f>
        <v>NJ</v>
      </c>
      <c r="E2185" s="2">
        <v>0</v>
      </c>
      <c r="F2185" s="2">
        <v>0</v>
      </c>
      <c r="G2185" s="2">
        <v>1</v>
      </c>
      <c r="H2185" s="2">
        <v>1</v>
      </c>
    </row>
    <row r="2186" spans="1:8" x14ac:dyDescent="0.25">
      <c r="A2186" s="1" t="str">
        <f>"20594"</f>
        <v>20594</v>
      </c>
      <c r="B2186" s="1" t="str">
        <f>"47894"</f>
        <v>47894</v>
      </c>
      <c r="C2186" s="1" t="str">
        <f>"WASHINGTON"</f>
        <v>WASHINGTON</v>
      </c>
      <c r="D2186" s="1" t="str">
        <f>"DC"</f>
        <v>DC</v>
      </c>
      <c r="E2186" s="2">
        <v>0</v>
      </c>
      <c r="F2186" s="2">
        <v>1</v>
      </c>
      <c r="G2186" s="2">
        <v>0</v>
      </c>
      <c r="H2186" s="2">
        <v>1</v>
      </c>
    </row>
    <row r="2187" spans="1:8" x14ac:dyDescent="0.25">
      <c r="A2187" s="1" t="str">
        <f>"01879"</f>
        <v>01879</v>
      </c>
      <c r="B2187" s="1" t="str">
        <f>"15764"</f>
        <v>15764</v>
      </c>
      <c r="C2187" s="1" t="str">
        <f>"TYNGSBORO"</f>
        <v>TYNGSBORO</v>
      </c>
      <c r="D2187" s="1" t="str">
        <f t="shared" ref="D2187:D2192" si="155">"MA"</f>
        <v>MA</v>
      </c>
      <c r="E2187" s="2">
        <v>1</v>
      </c>
      <c r="F2187" s="2">
        <v>1</v>
      </c>
      <c r="G2187" s="2">
        <v>1</v>
      </c>
      <c r="H2187" s="2">
        <v>1</v>
      </c>
    </row>
    <row r="2188" spans="1:8" x14ac:dyDescent="0.25">
      <c r="A2188" s="1" t="str">
        <f>"02072"</f>
        <v>02072</v>
      </c>
      <c r="B2188" s="1" t="str">
        <f>"14454"</f>
        <v>14454</v>
      </c>
      <c r="C2188" s="1" t="str">
        <f>"STOUGHTON"</f>
        <v>STOUGHTON</v>
      </c>
      <c r="D2188" s="1" t="str">
        <f t="shared" si="155"/>
        <v>MA</v>
      </c>
      <c r="E2188" s="2">
        <v>1</v>
      </c>
      <c r="F2188" s="2">
        <v>1</v>
      </c>
      <c r="G2188" s="2">
        <v>1</v>
      </c>
      <c r="H2188" s="2">
        <v>1</v>
      </c>
    </row>
    <row r="2189" spans="1:8" x14ac:dyDescent="0.25">
      <c r="A2189" s="1" t="str">
        <f>"02119"</f>
        <v>02119</v>
      </c>
      <c r="B2189" s="1" t="str">
        <f>"14454"</f>
        <v>14454</v>
      </c>
      <c r="C2189" s="1" t="str">
        <f>"ROXBURY"</f>
        <v>ROXBURY</v>
      </c>
      <c r="D2189" s="1" t="str">
        <f t="shared" si="155"/>
        <v>MA</v>
      </c>
      <c r="E2189" s="2">
        <v>1</v>
      </c>
      <c r="F2189" s="2">
        <v>1</v>
      </c>
      <c r="G2189" s="2">
        <v>1</v>
      </c>
      <c r="H2189" s="2">
        <v>1</v>
      </c>
    </row>
    <row r="2190" spans="1:8" x14ac:dyDescent="0.25">
      <c r="A2190" s="1" t="str">
        <f>"02210"</f>
        <v>02210</v>
      </c>
      <c r="B2190" s="1" t="str">
        <f>"14454"</f>
        <v>14454</v>
      </c>
      <c r="C2190" s="1" t="str">
        <f>"BOSTON"</f>
        <v>BOSTON</v>
      </c>
      <c r="D2190" s="1" t="str">
        <f t="shared" si="155"/>
        <v>MA</v>
      </c>
      <c r="E2190" s="2">
        <v>1</v>
      </c>
      <c r="F2190" s="2">
        <v>1</v>
      </c>
      <c r="G2190" s="2">
        <v>1</v>
      </c>
      <c r="H2190" s="2">
        <v>1</v>
      </c>
    </row>
    <row r="2191" spans="1:8" x14ac:dyDescent="0.25">
      <c r="A2191" s="1" t="str">
        <f>"02481"</f>
        <v>02481</v>
      </c>
      <c r="B2191" s="1" t="str">
        <f>"14454"</f>
        <v>14454</v>
      </c>
      <c r="C2191" s="1" t="str">
        <f>"WELLESLEY HILLS"</f>
        <v>WELLESLEY HILLS</v>
      </c>
      <c r="D2191" s="1" t="str">
        <f t="shared" si="155"/>
        <v>MA</v>
      </c>
      <c r="E2191" s="2">
        <v>1</v>
      </c>
      <c r="F2191" s="2">
        <v>1</v>
      </c>
      <c r="G2191" s="2">
        <v>1</v>
      </c>
      <c r="H2191" s="2">
        <v>1</v>
      </c>
    </row>
    <row r="2192" spans="1:8" x14ac:dyDescent="0.25">
      <c r="A2192" s="1" t="str">
        <f>"02468"</f>
        <v>02468</v>
      </c>
      <c r="B2192" s="1" t="str">
        <f>"15764"</f>
        <v>15764</v>
      </c>
      <c r="C2192" s="1" t="str">
        <f>"WABAN"</f>
        <v>WABAN</v>
      </c>
      <c r="D2192" s="1" t="str">
        <f t="shared" si="155"/>
        <v>MA</v>
      </c>
      <c r="E2192" s="2">
        <v>1</v>
      </c>
      <c r="F2192" s="2">
        <v>1</v>
      </c>
      <c r="G2192" s="2">
        <v>1</v>
      </c>
      <c r="H2192" s="2">
        <v>1</v>
      </c>
    </row>
    <row r="2193" spans="1:8" x14ac:dyDescent="0.25">
      <c r="A2193" s="1" t="str">
        <f>"03087"</f>
        <v>03087</v>
      </c>
      <c r="B2193" s="1" t="str">
        <f>"40484"</f>
        <v>40484</v>
      </c>
      <c r="C2193" s="1" t="str">
        <f>"WINDHAM"</f>
        <v>WINDHAM</v>
      </c>
      <c r="D2193" s="1" t="str">
        <f>"NH"</f>
        <v>NH</v>
      </c>
      <c r="E2193" s="2">
        <v>1</v>
      </c>
      <c r="F2193" s="2">
        <v>1</v>
      </c>
      <c r="G2193" s="2">
        <v>1</v>
      </c>
      <c r="H2193" s="2">
        <v>1</v>
      </c>
    </row>
    <row r="2194" spans="1:8" x14ac:dyDescent="0.25">
      <c r="A2194" s="1" t="str">
        <f>"07034"</f>
        <v>07034</v>
      </c>
      <c r="B2194" s="1" t="str">
        <f>"35084"</f>
        <v>35084</v>
      </c>
      <c r="C2194" s="1" t="str">
        <f>"LAKE HIAWATHA"</f>
        <v>LAKE HIAWATHA</v>
      </c>
      <c r="D2194" s="1" t="str">
        <f t="shared" ref="D2194:D2203" si="156">"NJ"</f>
        <v>NJ</v>
      </c>
      <c r="E2194" s="2">
        <v>1</v>
      </c>
      <c r="F2194" s="2">
        <v>1</v>
      </c>
      <c r="G2194" s="2">
        <v>1</v>
      </c>
      <c r="H2194" s="2">
        <v>1</v>
      </c>
    </row>
    <row r="2195" spans="1:8" x14ac:dyDescent="0.25">
      <c r="A2195" s="1" t="str">
        <f>"07074"</f>
        <v>07074</v>
      </c>
      <c r="B2195" s="1" t="str">
        <f>"35614"</f>
        <v>35614</v>
      </c>
      <c r="C2195" s="1" t="str">
        <f>"MOONACHIE"</f>
        <v>MOONACHIE</v>
      </c>
      <c r="D2195" s="1" t="str">
        <f t="shared" si="156"/>
        <v>NJ</v>
      </c>
      <c r="E2195" s="2">
        <v>1</v>
      </c>
      <c r="F2195" s="2">
        <v>1</v>
      </c>
      <c r="G2195" s="2">
        <v>1</v>
      </c>
      <c r="H2195" s="2">
        <v>1</v>
      </c>
    </row>
    <row r="2196" spans="1:8" x14ac:dyDescent="0.25">
      <c r="A2196" s="1" t="str">
        <f>"07450"</f>
        <v>07450</v>
      </c>
      <c r="B2196" s="1" t="str">
        <f>"35614"</f>
        <v>35614</v>
      </c>
      <c r="C2196" s="1" t="str">
        <f>"RIDGEWOOD"</f>
        <v>RIDGEWOOD</v>
      </c>
      <c r="D2196" s="1" t="str">
        <f t="shared" si="156"/>
        <v>NJ</v>
      </c>
      <c r="E2196" s="2">
        <v>1</v>
      </c>
      <c r="F2196" s="2">
        <v>1</v>
      </c>
      <c r="G2196" s="2">
        <v>1</v>
      </c>
      <c r="H2196" s="2">
        <v>1</v>
      </c>
    </row>
    <row r="2197" spans="1:8" x14ac:dyDescent="0.25">
      <c r="A2197" s="1" t="str">
        <f>"07733"</f>
        <v>07733</v>
      </c>
      <c r="B2197" s="1" t="str">
        <f>"35154"</f>
        <v>35154</v>
      </c>
      <c r="C2197" s="1" t="str">
        <f>"HOLMDEL"</f>
        <v>HOLMDEL</v>
      </c>
      <c r="D2197" s="1" t="str">
        <f t="shared" si="156"/>
        <v>NJ</v>
      </c>
      <c r="E2197" s="2">
        <v>1</v>
      </c>
      <c r="F2197" s="2">
        <v>1</v>
      </c>
      <c r="G2197" s="2">
        <v>1</v>
      </c>
      <c r="H2197" s="2">
        <v>1</v>
      </c>
    </row>
    <row r="2198" spans="1:8" x14ac:dyDescent="0.25">
      <c r="A2198" s="1" t="str">
        <f>"07828"</f>
        <v>07828</v>
      </c>
      <c r="B2198" s="1" t="str">
        <f>"35084"</f>
        <v>35084</v>
      </c>
      <c r="C2198" s="1" t="str">
        <f>"BUDD LAKE"</f>
        <v>BUDD LAKE</v>
      </c>
      <c r="D2198" s="1" t="str">
        <f t="shared" si="156"/>
        <v>NJ</v>
      </c>
      <c r="E2198" s="2">
        <v>1</v>
      </c>
      <c r="F2198" s="2">
        <v>1</v>
      </c>
      <c r="G2198" s="2">
        <v>1</v>
      </c>
      <c r="H2198" s="2">
        <v>1</v>
      </c>
    </row>
    <row r="2199" spans="1:8" x14ac:dyDescent="0.25">
      <c r="A2199" s="1" t="str">
        <f>"08065"</f>
        <v>08065</v>
      </c>
      <c r="B2199" s="1" t="str">
        <f>"15804"</f>
        <v>15804</v>
      </c>
      <c r="C2199" s="1" t="str">
        <f>"PALMYRA"</f>
        <v>PALMYRA</v>
      </c>
      <c r="D2199" s="1" t="str">
        <f t="shared" si="156"/>
        <v>NJ</v>
      </c>
      <c r="E2199" s="2">
        <v>1</v>
      </c>
      <c r="F2199" s="2">
        <v>1</v>
      </c>
      <c r="G2199" s="2">
        <v>1</v>
      </c>
      <c r="H2199" s="2">
        <v>1</v>
      </c>
    </row>
    <row r="2200" spans="1:8" x14ac:dyDescent="0.25">
      <c r="A2200" s="1" t="str">
        <f>"08554"</f>
        <v>08554</v>
      </c>
      <c r="B2200" s="1" t="str">
        <f>"15804"</f>
        <v>15804</v>
      </c>
      <c r="C2200" s="1" t="str">
        <f>"ROEBLING"</f>
        <v>ROEBLING</v>
      </c>
      <c r="D2200" s="1" t="str">
        <f t="shared" si="156"/>
        <v>NJ</v>
      </c>
      <c r="E2200" s="2">
        <v>1</v>
      </c>
      <c r="F2200" s="2">
        <v>1</v>
      </c>
      <c r="G2200" s="2">
        <v>1</v>
      </c>
      <c r="H2200" s="2">
        <v>1</v>
      </c>
    </row>
    <row r="2201" spans="1:8" x14ac:dyDescent="0.25">
      <c r="A2201" s="1" t="str">
        <f>"08812"</f>
        <v>08812</v>
      </c>
      <c r="B2201" s="1" t="str">
        <f>"35084"</f>
        <v>35084</v>
      </c>
      <c r="C2201" s="1" t="str">
        <f>"DUNELLEN"</f>
        <v>DUNELLEN</v>
      </c>
      <c r="D2201" s="1" t="str">
        <f t="shared" si="156"/>
        <v>NJ</v>
      </c>
      <c r="E2201" s="2">
        <v>7.8768349445041096E-3</v>
      </c>
      <c r="F2201" s="2">
        <v>1.3513513513513499E-3</v>
      </c>
      <c r="G2201" s="2">
        <v>0</v>
      </c>
      <c r="H2201" s="2">
        <v>6.8099273607748097E-3</v>
      </c>
    </row>
    <row r="2202" spans="1:8" x14ac:dyDescent="0.25">
      <c r="A2202" s="1" t="str">
        <f>"08812"</f>
        <v>08812</v>
      </c>
      <c r="B2202" s="1" t="str">
        <f>"35154"</f>
        <v>35154</v>
      </c>
      <c r="C2202" s="1" t="str">
        <f>"DUNELLEN"</f>
        <v>DUNELLEN</v>
      </c>
      <c r="D2202" s="1" t="str">
        <f t="shared" si="156"/>
        <v>NJ</v>
      </c>
      <c r="E2202" s="2">
        <v>0.99212316505549503</v>
      </c>
      <c r="F2202" s="2">
        <v>0.998648648648648</v>
      </c>
      <c r="G2202" s="2">
        <v>1</v>
      </c>
      <c r="H2202" s="2">
        <v>0.99319007263922499</v>
      </c>
    </row>
    <row r="2203" spans="1:8" x14ac:dyDescent="0.25">
      <c r="A2203" s="1" t="str">
        <f>"08906"</f>
        <v>08906</v>
      </c>
      <c r="B2203" s="1" t="str">
        <f>"35154"</f>
        <v>35154</v>
      </c>
      <c r="C2203" s="1" t="str">
        <f>"NEW BRUNSWICK"</f>
        <v>NEW BRUNSWICK</v>
      </c>
      <c r="D2203" s="1" t="str">
        <f t="shared" si="156"/>
        <v>NJ</v>
      </c>
      <c r="E2203" s="2">
        <v>1</v>
      </c>
      <c r="F2203" s="2">
        <v>1</v>
      </c>
      <c r="G2203" s="2">
        <v>1</v>
      </c>
      <c r="H2203" s="2">
        <v>1</v>
      </c>
    </row>
    <row r="2204" spans="1:8" x14ac:dyDescent="0.25">
      <c r="A2204" s="1" t="str">
        <f>"20521"</f>
        <v>20521</v>
      </c>
      <c r="B2204" s="1" t="str">
        <f>"47894"</f>
        <v>47894</v>
      </c>
      <c r="C2204" s="1" t="str">
        <f>"WASHINGTON"</f>
        <v>WASHINGTON</v>
      </c>
      <c r="D2204" s="1" t="str">
        <f>"DC"</f>
        <v>DC</v>
      </c>
      <c r="E2204" s="2">
        <v>0</v>
      </c>
      <c r="F2204" s="2">
        <v>1</v>
      </c>
      <c r="G2204" s="2">
        <v>0</v>
      </c>
      <c r="H2204" s="2">
        <v>1</v>
      </c>
    </row>
    <row r="2205" spans="1:8" x14ac:dyDescent="0.25">
      <c r="A2205" s="1" t="str">
        <f>"10013"</f>
        <v>10013</v>
      </c>
      <c r="B2205" s="1" t="str">
        <f t="shared" ref="B2205:B2212" si="157">"35614"</f>
        <v>35614</v>
      </c>
      <c r="C2205" s="1" t="str">
        <f>"NEW YORK"</f>
        <v>NEW YORK</v>
      </c>
      <c r="D2205" s="1" t="str">
        <f t="shared" ref="D2205:D2220" si="158">"NY"</f>
        <v>NY</v>
      </c>
      <c r="E2205" s="2">
        <v>1</v>
      </c>
      <c r="F2205" s="2">
        <v>1</v>
      </c>
      <c r="G2205" s="2">
        <v>1</v>
      </c>
      <c r="H2205" s="2">
        <v>1</v>
      </c>
    </row>
    <row r="2206" spans="1:8" x14ac:dyDescent="0.25">
      <c r="A2206" s="1" t="str">
        <f>"10039"</f>
        <v>10039</v>
      </c>
      <c r="B2206" s="1" t="str">
        <f t="shared" si="157"/>
        <v>35614</v>
      </c>
      <c r="C2206" s="1" t="str">
        <f>"NEW YORK"</f>
        <v>NEW YORK</v>
      </c>
      <c r="D2206" s="1" t="str">
        <f t="shared" si="158"/>
        <v>NY</v>
      </c>
      <c r="E2206" s="2">
        <v>1</v>
      </c>
      <c r="F2206" s="2">
        <v>1</v>
      </c>
      <c r="G2206" s="2">
        <v>1</v>
      </c>
      <c r="H2206" s="2">
        <v>1</v>
      </c>
    </row>
    <row r="2207" spans="1:8" x14ac:dyDescent="0.25">
      <c r="A2207" s="1" t="str">
        <f>"10107"</f>
        <v>10107</v>
      </c>
      <c r="B2207" s="1" t="str">
        <f t="shared" si="157"/>
        <v>35614</v>
      </c>
      <c r="C2207" s="1" t="str">
        <f>"NEW YORK"</f>
        <v>NEW YORK</v>
      </c>
      <c r="D2207" s="1" t="str">
        <f t="shared" si="158"/>
        <v>NY</v>
      </c>
      <c r="E2207" s="2">
        <v>0</v>
      </c>
      <c r="F2207" s="2">
        <v>1</v>
      </c>
      <c r="G2207" s="2">
        <v>1</v>
      </c>
      <c r="H2207" s="2">
        <v>1</v>
      </c>
    </row>
    <row r="2208" spans="1:8" x14ac:dyDescent="0.25">
      <c r="A2208" s="1" t="str">
        <f>"10278"</f>
        <v>10278</v>
      </c>
      <c r="B2208" s="1" t="str">
        <f t="shared" si="157"/>
        <v>35614</v>
      </c>
      <c r="C2208" s="1" t="str">
        <f>"NEW YORK"</f>
        <v>NEW YORK</v>
      </c>
      <c r="D2208" s="1" t="str">
        <f t="shared" si="158"/>
        <v>NY</v>
      </c>
      <c r="E2208" s="2">
        <v>0</v>
      </c>
      <c r="F2208" s="2">
        <v>1</v>
      </c>
      <c r="G2208" s="2">
        <v>1</v>
      </c>
      <c r="H2208" s="2">
        <v>1</v>
      </c>
    </row>
    <row r="2209" spans="1:8" x14ac:dyDescent="0.25">
      <c r="A2209" s="1" t="str">
        <f>"10466"</f>
        <v>10466</v>
      </c>
      <c r="B2209" s="1" t="str">
        <f t="shared" si="157"/>
        <v>35614</v>
      </c>
      <c r="C2209" s="1" t="str">
        <f>"BRONX"</f>
        <v>BRONX</v>
      </c>
      <c r="D2209" s="1" t="str">
        <f t="shared" si="158"/>
        <v>NY</v>
      </c>
      <c r="E2209" s="2">
        <v>1</v>
      </c>
      <c r="F2209" s="2">
        <v>1</v>
      </c>
      <c r="G2209" s="2">
        <v>1</v>
      </c>
      <c r="H2209" s="2">
        <v>1</v>
      </c>
    </row>
    <row r="2210" spans="1:8" x14ac:dyDescent="0.25">
      <c r="A2210" s="1" t="str">
        <f>"11220"</f>
        <v>11220</v>
      </c>
      <c r="B2210" s="1" t="str">
        <f t="shared" si="157"/>
        <v>35614</v>
      </c>
      <c r="C2210" s="1" t="str">
        <f>"BROOKLYN"</f>
        <v>BROOKLYN</v>
      </c>
      <c r="D2210" s="1" t="str">
        <f t="shared" si="158"/>
        <v>NY</v>
      </c>
      <c r="E2210" s="2">
        <v>1</v>
      </c>
      <c r="F2210" s="2">
        <v>1</v>
      </c>
      <c r="G2210" s="2">
        <v>1</v>
      </c>
      <c r="H2210" s="2">
        <v>1</v>
      </c>
    </row>
    <row r="2211" spans="1:8" x14ac:dyDescent="0.25">
      <c r="A2211" s="1" t="str">
        <f>"11233"</f>
        <v>11233</v>
      </c>
      <c r="B2211" s="1" t="str">
        <f t="shared" si="157"/>
        <v>35614</v>
      </c>
      <c r="C2211" s="1" t="str">
        <f>"BROOKLYN"</f>
        <v>BROOKLYN</v>
      </c>
      <c r="D2211" s="1" t="str">
        <f t="shared" si="158"/>
        <v>NY</v>
      </c>
      <c r="E2211" s="2">
        <v>1</v>
      </c>
      <c r="F2211" s="2">
        <v>1</v>
      </c>
      <c r="G2211" s="2">
        <v>1</v>
      </c>
      <c r="H2211" s="2">
        <v>1</v>
      </c>
    </row>
    <row r="2212" spans="1:8" x14ac:dyDescent="0.25">
      <c r="A2212" s="1" t="str">
        <f>"11363"</f>
        <v>11363</v>
      </c>
      <c r="B2212" s="1" t="str">
        <f t="shared" si="157"/>
        <v>35614</v>
      </c>
      <c r="C2212" s="1" t="str">
        <f>"LITTLE NECK"</f>
        <v>LITTLE NECK</v>
      </c>
      <c r="D2212" s="1" t="str">
        <f t="shared" si="158"/>
        <v>NY</v>
      </c>
      <c r="E2212" s="2">
        <v>1</v>
      </c>
      <c r="F2212" s="2">
        <v>1</v>
      </c>
      <c r="G2212" s="2">
        <v>1</v>
      </c>
      <c r="H2212" s="2">
        <v>1</v>
      </c>
    </row>
    <row r="2213" spans="1:8" x14ac:dyDescent="0.25">
      <c r="A2213" s="1" t="str">
        <f>"11568"</f>
        <v>11568</v>
      </c>
      <c r="B2213" s="1" t="str">
        <f>"35004"</f>
        <v>35004</v>
      </c>
      <c r="C2213" s="1" t="str">
        <f>"OLD WESTBURY"</f>
        <v>OLD WESTBURY</v>
      </c>
      <c r="D2213" s="1" t="str">
        <f t="shared" si="158"/>
        <v>NY</v>
      </c>
      <c r="E2213" s="2">
        <v>1</v>
      </c>
      <c r="F2213" s="2">
        <v>1</v>
      </c>
      <c r="G2213" s="2">
        <v>1</v>
      </c>
      <c r="H2213" s="2">
        <v>1</v>
      </c>
    </row>
    <row r="2214" spans="1:8" x14ac:dyDescent="0.25">
      <c r="A2214" s="1" t="str">
        <f>"11730"</f>
        <v>11730</v>
      </c>
      <c r="B2214" s="1" t="str">
        <f>"35004"</f>
        <v>35004</v>
      </c>
      <c r="C2214" s="1" t="str">
        <f>"EAST ISLIP"</f>
        <v>EAST ISLIP</v>
      </c>
      <c r="D2214" s="1" t="str">
        <f t="shared" si="158"/>
        <v>NY</v>
      </c>
      <c r="E2214" s="2">
        <v>1</v>
      </c>
      <c r="F2214" s="2">
        <v>1</v>
      </c>
      <c r="G2214" s="2">
        <v>1</v>
      </c>
      <c r="H2214" s="2">
        <v>1</v>
      </c>
    </row>
    <row r="2215" spans="1:8" x14ac:dyDescent="0.25">
      <c r="A2215" s="1" t="str">
        <f>"11735"</f>
        <v>11735</v>
      </c>
      <c r="B2215" s="1" t="str">
        <f>"35004"</f>
        <v>35004</v>
      </c>
      <c r="C2215" s="1" t="str">
        <f>"FARMINGDALE"</f>
        <v>FARMINGDALE</v>
      </c>
      <c r="D2215" s="1" t="str">
        <f t="shared" si="158"/>
        <v>NY</v>
      </c>
      <c r="E2215" s="2">
        <v>1</v>
      </c>
      <c r="F2215" s="2">
        <v>1</v>
      </c>
      <c r="G2215" s="2">
        <v>1</v>
      </c>
      <c r="H2215" s="2">
        <v>1</v>
      </c>
    </row>
    <row r="2216" spans="1:8" x14ac:dyDescent="0.25">
      <c r="A2216" s="1" t="str">
        <f>"11751"</f>
        <v>11751</v>
      </c>
      <c r="B2216" s="1" t="str">
        <f>"35004"</f>
        <v>35004</v>
      </c>
      <c r="C2216" s="1" t="str">
        <f>"ISLIP"</f>
        <v>ISLIP</v>
      </c>
      <c r="D2216" s="1" t="str">
        <f t="shared" si="158"/>
        <v>NY</v>
      </c>
      <c r="E2216" s="2">
        <v>1</v>
      </c>
      <c r="F2216" s="2">
        <v>1</v>
      </c>
      <c r="G2216" s="2">
        <v>1</v>
      </c>
      <c r="H2216" s="2">
        <v>1</v>
      </c>
    </row>
    <row r="2217" spans="1:8" x14ac:dyDescent="0.25">
      <c r="A2217" s="1" t="str">
        <f>"11939"</f>
        <v>11939</v>
      </c>
      <c r="B2217" s="1" t="str">
        <f>"35004"</f>
        <v>35004</v>
      </c>
      <c r="C2217" s="1" t="str">
        <f>"EAST MARION"</f>
        <v>EAST MARION</v>
      </c>
      <c r="D2217" s="1" t="str">
        <f t="shared" si="158"/>
        <v>NY</v>
      </c>
      <c r="E2217" s="2">
        <v>1</v>
      </c>
      <c r="F2217" s="2">
        <v>1</v>
      </c>
      <c r="G2217" s="2">
        <v>1</v>
      </c>
      <c r="H2217" s="2">
        <v>1</v>
      </c>
    </row>
    <row r="2218" spans="1:8" x14ac:dyDescent="0.25">
      <c r="A2218" s="1" t="str">
        <f>"10550"</f>
        <v>10550</v>
      </c>
      <c r="B2218" s="1" t="str">
        <f>"35614"</f>
        <v>35614</v>
      </c>
      <c r="C2218" s="1" t="str">
        <f>"MOUNT VERNON"</f>
        <v>MOUNT VERNON</v>
      </c>
      <c r="D2218" s="1" t="str">
        <f t="shared" si="158"/>
        <v>NY</v>
      </c>
      <c r="E2218" s="2">
        <v>1</v>
      </c>
      <c r="F2218" s="2">
        <v>1</v>
      </c>
      <c r="G2218" s="2">
        <v>1</v>
      </c>
      <c r="H2218" s="2">
        <v>1</v>
      </c>
    </row>
    <row r="2219" spans="1:8" x14ac:dyDescent="0.25">
      <c r="A2219" s="1" t="str">
        <f>"10974"</f>
        <v>10974</v>
      </c>
      <c r="B2219" s="1" t="str">
        <f>"35614"</f>
        <v>35614</v>
      </c>
      <c r="C2219" s="1" t="str">
        <f>"SLOATSBURG"</f>
        <v>SLOATSBURG</v>
      </c>
      <c r="D2219" s="1" t="str">
        <f t="shared" si="158"/>
        <v>NY</v>
      </c>
      <c r="E2219" s="2">
        <v>1</v>
      </c>
      <c r="F2219" s="2">
        <v>1</v>
      </c>
      <c r="G2219" s="2">
        <v>1</v>
      </c>
      <c r="H2219" s="2">
        <v>1</v>
      </c>
    </row>
    <row r="2220" spans="1:8" x14ac:dyDescent="0.25">
      <c r="A2220" s="1" t="str">
        <f>"12563"</f>
        <v>12563</v>
      </c>
      <c r="B2220" s="1" t="str">
        <f>"35614"</f>
        <v>35614</v>
      </c>
      <c r="C2220" s="1" t="str">
        <f>"PATTERSON"</f>
        <v>PATTERSON</v>
      </c>
      <c r="D2220" s="1" t="str">
        <f t="shared" si="158"/>
        <v>NY</v>
      </c>
      <c r="E2220" s="2">
        <v>1</v>
      </c>
      <c r="F2220" s="2">
        <v>1</v>
      </c>
      <c r="G2220" s="2">
        <v>1</v>
      </c>
      <c r="H2220" s="2">
        <v>1</v>
      </c>
    </row>
    <row r="2221" spans="1:8" x14ac:dyDescent="0.25">
      <c r="A2221" s="1" t="str">
        <f>"18969"</f>
        <v>18969</v>
      </c>
      <c r="B2221" s="1" t="str">
        <f>"33874"</f>
        <v>33874</v>
      </c>
      <c r="C2221" s="1" t="str">
        <f>"TELFORD"</f>
        <v>TELFORD</v>
      </c>
      <c r="D2221" s="1" t="str">
        <f>"PA"</f>
        <v>PA</v>
      </c>
      <c r="E2221" s="2">
        <v>1</v>
      </c>
      <c r="F2221" s="2">
        <v>1</v>
      </c>
      <c r="G2221" s="2">
        <v>1</v>
      </c>
      <c r="H2221" s="2">
        <v>1</v>
      </c>
    </row>
    <row r="2222" spans="1:8" x14ac:dyDescent="0.25">
      <c r="A2222" s="1" t="str">
        <f>"19026"</f>
        <v>19026</v>
      </c>
      <c r="B2222" s="1" t="str">
        <f>"37964"</f>
        <v>37964</v>
      </c>
      <c r="C2222" s="1" t="str">
        <f>"DREXEL HILL"</f>
        <v>DREXEL HILL</v>
      </c>
      <c r="D2222" s="1" t="str">
        <f>"PA"</f>
        <v>PA</v>
      </c>
      <c r="E2222" s="2">
        <v>1</v>
      </c>
      <c r="F2222" s="2">
        <v>1</v>
      </c>
      <c r="G2222" s="2">
        <v>1</v>
      </c>
      <c r="H2222" s="2">
        <v>1</v>
      </c>
    </row>
    <row r="2223" spans="1:8" x14ac:dyDescent="0.25">
      <c r="A2223" s="1" t="str">
        <f>"19112"</f>
        <v>19112</v>
      </c>
      <c r="B2223" s="1" t="str">
        <f>"37964"</f>
        <v>37964</v>
      </c>
      <c r="C2223" s="1" t="str">
        <f>"PHILADELPHIA"</f>
        <v>PHILADELPHIA</v>
      </c>
      <c r="D2223" s="1" t="str">
        <f>"PA"</f>
        <v>PA</v>
      </c>
      <c r="E2223" s="2">
        <v>0</v>
      </c>
      <c r="F2223" s="2">
        <v>1</v>
      </c>
      <c r="G2223" s="2">
        <v>1</v>
      </c>
      <c r="H2223" s="2">
        <v>1</v>
      </c>
    </row>
    <row r="2224" spans="1:8" x14ac:dyDescent="0.25">
      <c r="A2224" s="1" t="str">
        <f>"19343"</f>
        <v>19343</v>
      </c>
      <c r="B2224" s="1" t="str">
        <f>"33874"</f>
        <v>33874</v>
      </c>
      <c r="C2224" s="1" t="str">
        <f>"GLENMOORE"</f>
        <v>GLENMOORE</v>
      </c>
      <c r="D2224" s="1" t="str">
        <f>"PA"</f>
        <v>PA</v>
      </c>
      <c r="E2224" s="2">
        <v>1</v>
      </c>
      <c r="F2224" s="2">
        <v>1</v>
      </c>
      <c r="G2224" s="2">
        <v>1</v>
      </c>
      <c r="H2224" s="2">
        <v>1</v>
      </c>
    </row>
    <row r="2225" spans="1:8" x14ac:dyDescent="0.25">
      <c r="A2225" s="1" t="str">
        <f>"20783"</f>
        <v>20783</v>
      </c>
      <c r="B2225" s="1" t="str">
        <f>"47894"</f>
        <v>47894</v>
      </c>
      <c r="C2225" s="1" t="str">
        <f>"HYATTSVILLE"</f>
        <v>HYATTSVILLE</v>
      </c>
      <c r="D2225" s="1" t="str">
        <f>"MD"</f>
        <v>MD</v>
      </c>
      <c r="E2225" s="2">
        <v>0.99971332329964802</v>
      </c>
      <c r="F2225" s="2">
        <v>0.99868938401048402</v>
      </c>
      <c r="G2225" s="2">
        <v>0.99930458970792702</v>
      </c>
      <c r="H2225" s="2">
        <v>0.99962857496595203</v>
      </c>
    </row>
    <row r="2226" spans="1:8" x14ac:dyDescent="0.25">
      <c r="A2226" s="1" t="str">
        <f>"20783"</f>
        <v>20783</v>
      </c>
      <c r="B2226" s="1" t="str">
        <f>"23224"</f>
        <v>23224</v>
      </c>
      <c r="C2226" s="1" t="str">
        <f>"HYATTSVILLE"</f>
        <v>HYATTSVILLE</v>
      </c>
      <c r="D2226" s="1" t="str">
        <f>"MD"</f>
        <v>MD</v>
      </c>
      <c r="E2226" s="2">
        <v>2.8667670035117802E-4</v>
      </c>
      <c r="F2226" s="2">
        <v>1.3106159895150699E-3</v>
      </c>
      <c r="G2226" s="2">
        <v>6.9541029207232199E-4</v>
      </c>
      <c r="H2226" s="2">
        <v>3.71425034047294E-4</v>
      </c>
    </row>
    <row r="2227" spans="1:8" x14ac:dyDescent="0.25">
      <c r="A2227" s="1" t="str">
        <f>"20833"</f>
        <v>20833</v>
      </c>
      <c r="B2227" s="1" t="str">
        <f>"23224"</f>
        <v>23224</v>
      </c>
      <c r="C2227" s="1" t="str">
        <f>"BROOKEVILLE"</f>
        <v>BROOKEVILLE</v>
      </c>
      <c r="D2227" s="1" t="str">
        <f>"MD"</f>
        <v>MD</v>
      </c>
      <c r="E2227" s="2">
        <v>1</v>
      </c>
      <c r="F2227" s="2">
        <v>1</v>
      </c>
      <c r="G2227" s="2">
        <v>1</v>
      </c>
      <c r="H2227" s="2">
        <v>1</v>
      </c>
    </row>
    <row r="2228" spans="1:8" x14ac:dyDescent="0.25">
      <c r="A2228" s="1" t="str">
        <f>"20878"</f>
        <v>20878</v>
      </c>
      <c r="B2228" s="1" t="str">
        <f>"23224"</f>
        <v>23224</v>
      </c>
      <c r="C2228" s="1" t="str">
        <f>"GAITHERSBURG"</f>
        <v>GAITHERSBURG</v>
      </c>
      <c r="D2228" s="1" t="str">
        <f>"MD"</f>
        <v>MD</v>
      </c>
      <c r="E2228" s="2">
        <v>1</v>
      </c>
      <c r="F2228" s="2">
        <v>1</v>
      </c>
      <c r="G2228" s="2">
        <v>1</v>
      </c>
      <c r="H2228" s="2">
        <v>1</v>
      </c>
    </row>
    <row r="2229" spans="1:8" x14ac:dyDescent="0.25">
      <c r="A2229" s="1" t="str">
        <f>"21774"</f>
        <v>21774</v>
      </c>
      <c r="B2229" s="1" t="str">
        <f>"23224"</f>
        <v>23224</v>
      </c>
      <c r="C2229" s="1" t="str">
        <f>"NEW MARKET"</f>
        <v>NEW MARKET</v>
      </c>
      <c r="D2229" s="1" t="str">
        <f>"MD"</f>
        <v>MD</v>
      </c>
      <c r="E2229" s="2">
        <v>1</v>
      </c>
      <c r="F2229" s="2">
        <v>1</v>
      </c>
      <c r="G2229" s="2">
        <v>1</v>
      </c>
      <c r="H2229" s="2">
        <v>1</v>
      </c>
    </row>
    <row r="2230" spans="1:8" x14ac:dyDescent="0.25">
      <c r="A2230" s="1" t="str">
        <f>"22042"</f>
        <v>22042</v>
      </c>
      <c r="B2230" s="1" t="str">
        <f t="shared" ref="B2230:B2235" si="159">"47894"</f>
        <v>47894</v>
      </c>
      <c r="C2230" s="1" t="str">
        <f>"FALLS CHURCH"</f>
        <v>FALLS CHURCH</v>
      </c>
      <c r="D2230" s="1" t="str">
        <f t="shared" ref="D2230:D2235" si="160">"VA"</f>
        <v>VA</v>
      </c>
      <c r="E2230" s="2">
        <v>1</v>
      </c>
      <c r="F2230" s="2">
        <v>1</v>
      </c>
      <c r="G2230" s="2">
        <v>1</v>
      </c>
      <c r="H2230" s="2">
        <v>1</v>
      </c>
    </row>
    <row r="2231" spans="1:8" x14ac:dyDescent="0.25">
      <c r="A2231" s="1" t="str">
        <f>"22181"</f>
        <v>22181</v>
      </c>
      <c r="B2231" s="1" t="str">
        <f t="shared" si="159"/>
        <v>47894</v>
      </c>
      <c r="C2231" s="1" t="str">
        <f>"VIENNA"</f>
        <v>VIENNA</v>
      </c>
      <c r="D2231" s="1" t="str">
        <f t="shared" si="160"/>
        <v>VA</v>
      </c>
      <c r="E2231" s="2">
        <v>1</v>
      </c>
      <c r="F2231" s="2">
        <v>1</v>
      </c>
      <c r="G2231" s="2">
        <v>1</v>
      </c>
      <c r="H2231" s="2">
        <v>1</v>
      </c>
    </row>
    <row r="2232" spans="1:8" x14ac:dyDescent="0.25">
      <c r="A2232" s="1" t="str">
        <f>"22314"</f>
        <v>22314</v>
      </c>
      <c r="B2232" s="1" t="str">
        <f t="shared" si="159"/>
        <v>47894</v>
      </c>
      <c r="C2232" s="1" t="str">
        <f>"ALEXANDRIA"</f>
        <v>ALEXANDRIA</v>
      </c>
      <c r="D2232" s="1" t="str">
        <f t="shared" si="160"/>
        <v>VA</v>
      </c>
      <c r="E2232" s="2">
        <v>1</v>
      </c>
      <c r="F2232" s="2">
        <v>1</v>
      </c>
      <c r="G2232" s="2">
        <v>1</v>
      </c>
      <c r="H2232" s="2">
        <v>1</v>
      </c>
    </row>
    <row r="2233" spans="1:8" x14ac:dyDescent="0.25">
      <c r="A2233" s="1" t="str">
        <f>"22663"</f>
        <v>22663</v>
      </c>
      <c r="B2233" s="1" t="str">
        <f t="shared" si="159"/>
        <v>47894</v>
      </c>
      <c r="C2233" s="1" t="str">
        <f>"WHITE POST"</f>
        <v>WHITE POST</v>
      </c>
      <c r="D2233" s="1" t="str">
        <f t="shared" si="160"/>
        <v>VA</v>
      </c>
      <c r="E2233" s="2">
        <v>1</v>
      </c>
      <c r="F2233" s="2">
        <v>1</v>
      </c>
      <c r="G2233" s="2">
        <v>1</v>
      </c>
      <c r="H2233" s="2">
        <v>1</v>
      </c>
    </row>
    <row r="2234" spans="1:8" x14ac:dyDescent="0.25">
      <c r="A2234" s="1" t="str">
        <f>"22610"</f>
        <v>22610</v>
      </c>
      <c r="B2234" s="1" t="str">
        <f t="shared" si="159"/>
        <v>47894</v>
      </c>
      <c r="C2234" s="1" t="str">
        <f>"BENTONVILLE"</f>
        <v>BENTONVILLE</v>
      </c>
      <c r="D2234" s="1" t="str">
        <f t="shared" si="160"/>
        <v>VA</v>
      </c>
      <c r="E2234" s="2">
        <v>1</v>
      </c>
      <c r="F2234" s="2">
        <v>1</v>
      </c>
      <c r="G2234" s="2">
        <v>1</v>
      </c>
      <c r="H2234" s="2">
        <v>1</v>
      </c>
    </row>
    <row r="2235" spans="1:8" x14ac:dyDescent="0.25">
      <c r="A2235" s="1" t="str">
        <f>"22719"</f>
        <v>22719</v>
      </c>
      <c r="B2235" s="1" t="str">
        <f t="shared" si="159"/>
        <v>47894</v>
      </c>
      <c r="C2235" s="1" t="str">
        <f>"ETLAN"</f>
        <v>ETLAN</v>
      </c>
      <c r="D2235" s="1" t="str">
        <f t="shared" si="160"/>
        <v>VA</v>
      </c>
      <c r="E2235" s="2">
        <v>1</v>
      </c>
      <c r="F2235" s="2">
        <v>0</v>
      </c>
      <c r="G2235" s="2">
        <v>1</v>
      </c>
      <c r="H2235" s="2">
        <v>1</v>
      </c>
    </row>
    <row r="2236" spans="1:8" x14ac:dyDescent="0.25">
      <c r="A2236" s="1" t="str">
        <f>"33030"</f>
        <v>33030</v>
      </c>
      <c r="B2236" s="1" t="str">
        <f>"33124"</f>
        <v>33124</v>
      </c>
      <c r="C2236" s="1" t="str">
        <f>"HOMESTEAD"</f>
        <v>HOMESTEAD</v>
      </c>
      <c r="D2236" s="1" t="str">
        <f t="shared" ref="D2236:D2243" si="161">"FL"</f>
        <v>FL</v>
      </c>
      <c r="E2236" s="2">
        <v>1</v>
      </c>
      <c r="F2236" s="2">
        <v>1</v>
      </c>
      <c r="G2236" s="2">
        <v>1</v>
      </c>
      <c r="H2236" s="2">
        <v>1</v>
      </c>
    </row>
    <row r="2237" spans="1:8" x14ac:dyDescent="0.25">
      <c r="A2237" s="1" t="str">
        <f>"33011"</f>
        <v>33011</v>
      </c>
      <c r="B2237" s="1" t="str">
        <f>"33124"</f>
        <v>33124</v>
      </c>
      <c r="C2237" s="1" t="str">
        <f>"HIALEAH"</f>
        <v>HIALEAH</v>
      </c>
      <c r="D2237" s="1" t="str">
        <f t="shared" si="161"/>
        <v>FL</v>
      </c>
      <c r="E2237" s="2">
        <v>1</v>
      </c>
      <c r="F2237" s="2">
        <v>1</v>
      </c>
      <c r="G2237" s="2">
        <v>1</v>
      </c>
      <c r="H2237" s="2">
        <v>1</v>
      </c>
    </row>
    <row r="2238" spans="1:8" x14ac:dyDescent="0.25">
      <c r="A2238" s="1" t="str">
        <f>"33029"</f>
        <v>33029</v>
      </c>
      <c r="B2238" s="1" t="str">
        <f>"22744"</f>
        <v>22744</v>
      </c>
      <c r="C2238" s="1" t="str">
        <f>"HOLLYWOOD"</f>
        <v>HOLLYWOOD</v>
      </c>
      <c r="D2238" s="1" t="str">
        <f t="shared" si="161"/>
        <v>FL</v>
      </c>
      <c r="E2238" s="2">
        <v>1</v>
      </c>
      <c r="F2238" s="2">
        <v>1</v>
      </c>
      <c r="G2238" s="2">
        <v>1</v>
      </c>
      <c r="H2238" s="2">
        <v>1</v>
      </c>
    </row>
    <row r="2239" spans="1:8" x14ac:dyDescent="0.25">
      <c r="A2239" s="1" t="str">
        <f>"33328"</f>
        <v>33328</v>
      </c>
      <c r="B2239" s="1" t="str">
        <f>"22744"</f>
        <v>22744</v>
      </c>
      <c r="C2239" s="1" t="str">
        <f>"FORT LAUDERDALE"</f>
        <v>FORT LAUDERDALE</v>
      </c>
      <c r="D2239" s="1" t="str">
        <f t="shared" si="161"/>
        <v>FL</v>
      </c>
      <c r="E2239" s="2">
        <v>1</v>
      </c>
      <c r="F2239" s="2">
        <v>1</v>
      </c>
      <c r="G2239" s="2">
        <v>1</v>
      </c>
      <c r="H2239" s="2">
        <v>1</v>
      </c>
    </row>
    <row r="2240" spans="1:8" x14ac:dyDescent="0.25">
      <c r="A2240" s="1" t="str">
        <f>"33143"</f>
        <v>33143</v>
      </c>
      <c r="B2240" s="1" t="str">
        <f>"33124"</f>
        <v>33124</v>
      </c>
      <c r="C2240" s="1" t="str">
        <f>"MIAMI"</f>
        <v>MIAMI</v>
      </c>
      <c r="D2240" s="1" t="str">
        <f t="shared" si="161"/>
        <v>FL</v>
      </c>
      <c r="E2240" s="2">
        <v>1</v>
      </c>
      <c r="F2240" s="2">
        <v>1</v>
      </c>
      <c r="G2240" s="2">
        <v>1</v>
      </c>
      <c r="H2240" s="2">
        <v>1</v>
      </c>
    </row>
    <row r="2241" spans="1:8" x14ac:dyDescent="0.25">
      <c r="A2241" s="1" t="str">
        <f>"33446"</f>
        <v>33446</v>
      </c>
      <c r="B2241" s="1" t="str">
        <f>"48424"</f>
        <v>48424</v>
      </c>
      <c r="C2241" s="1" t="str">
        <f>"DELRAY BEACH"</f>
        <v>DELRAY BEACH</v>
      </c>
      <c r="D2241" s="1" t="str">
        <f t="shared" si="161"/>
        <v>FL</v>
      </c>
      <c r="E2241" s="2">
        <v>1</v>
      </c>
      <c r="F2241" s="2">
        <v>1</v>
      </c>
      <c r="G2241" s="2">
        <v>1</v>
      </c>
      <c r="H2241" s="2">
        <v>1</v>
      </c>
    </row>
    <row r="2242" spans="1:8" x14ac:dyDescent="0.25">
      <c r="A2242" s="1" t="str">
        <f>"33472"</f>
        <v>33472</v>
      </c>
      <c r="B2242" s="1" t="str">
        <f>"48424"</f>
        <v>48424</v>
      </c>
      <c r="C2242" s="1" t="str">
        <f>"BOYNTON BEACH"</f>
        <v>BOYNTON BEACH</v>
      </c>
      <c r="D2242" s="1" t="str">
        <f t="shared" si="161"/>
        <v>FL</v>
      </c>
      <c r="E2242" s="2">
        <v>1</v>
      </c>
      <c r="F2242" s="2">
        <v>1</v>
      </c>
      <c r="G2242" s="2">
        <v>1</v>
      </c>
      <c r="H2242" s="2">
        <v>1</v>
      </c>
    </row>
    <row r="2243" spans="1:8" x14ac:dyDescent="0.25">
      <c r="A2243" s="1" t="str">
        <f>"33296"</f>
        <v>33296</v>
      </c>
      <c r="B2243" s="1" t="str">
        <f>"33124"</f>
        <v>33124</v>
      </c>
      <c r="C2243" s="1" t="str">
        <f>"MIAMI"</f>
        <v>MIAMI</v>
      </c>
      <c r="D2243" s="1" t="str">
        <f t="shared" si="161"/>
        <v>FL</v>
      </c>
      <c r="E2243" s="2">
        <v>1</v>
      </c>
      <c r="F2243" s="2">
        <v>1</v>
      </c>
      <c r="G2243" s="2">
        <v>1</v>
      </c>
      <c r="H2243" s="2">
        <v>1</v>
      </c>
    </row>
    <row r="2244" spans="1:8" x14ac:dyDescent="0.25">
      <c r="A2244" s="1" t="str">
        <f>"46349"</f>
        <v>46349</v>
      </c>
      <c r="B2244" s="1" t="str">
        <f>"23844"</f>
        <v>23844</v>
      </c>
      <c r="C2244" s="1" t="str">
        <f>"LAKE VILLAGE"</f>
        <v>LAKE VILLAGE</v>
      </c>
      <c r="D2244" s="1" t="str">
        <f>"IN"</f>
        <v>IN</v>
      </c>
      <c r="E2244" s="2">
        <v>1</v>
      </c>
      <c r="F2244" s="2">
        <v>1</v>
      </c>
      <c r="G2244" s="2">
        <v>1</v>
      </c>
      <c r="H2244" s="2">
        <v>1</v>
      </c>
    </row>
    <row r="2245" spans="1:8" x14ac:dyDescent="0.25">
      <c r="A2245" s="1" t="str">
        <f>"46341"</f>
        <v>46341</v>
      </c>
      <c r="B2245" s="1" t="str">
        <f>"23844"</f>
        <v>23844</v>
      </c>
      <c r="C2245" s="1" t="str">
        <f>"HEBRON"</f>
        <v>HEBRON</v>
      </c>
      <c r="D2245" s="1" t="str">
        <f>"IN"</f>
        <v>IN</v>
      </c>
      <c r="E2245" s="2">
        <v>1</v>
      </c>
      <c r="F2245" s="2">
        <v>1</v>
      </c>
      <c r="G2245" s="2">
        <v>1</v>
      </c>
      <c r="H2245" s="2">
        <v>1</v>
      </c>
    </row>
    <row r="2246" spans="1:8" x14ac:dyDescent="0.25">
      <c r="A2246" s="1" t="str">
        <f>"48041"</f>
        <v>48041</v>
      </c>
      <c r="B2246" s="1" t="str">
        <f>"47664"</f>
        <v>47664</v>
      </c>
      <c r="C2246" s="1" t="str">
        <f>"MEMPHIS"</f>
        <v>MEMPHIS</v>
      </c>
      <c r="D2246" s="1" t="str">
        <f>"MI"</f>
        <v>MI</v>
      </c>
      <c r="E2246" s="2">
        <v>1</v>
      </c>
      <c r="F2246" s="2">
        <v>1</v>
      </c>
      <c r="G2246" s="2">
        <v>1</v>
      </c>
      <c r="H2246" s="2">
        <v>1</v>
      </c>
    </row>
    <row r="2247" spans="1:8" x14ac:dyDescent="0.25">
      <c r="A2247" s="1" t="str">
        <f>"48032"</f>
        <v>48032</v>
      </c>
      <c r="B2247" s="1" t="str">
        <f>"47664"</f>
        <v>47664</v>
      </c>
      <c r="C2247" s="1" t="str">
        <f>"JEDDO"</f>
        <v>JEDDO</v>
      </c>
      <c r="D2247" s="1" t="str">
        <f>"MI"</f>
        <v>MI</v>
      </c>
      <c r="E2247" s="2">
        <v>1</v>
      </c>
      <c r="F2247" s="2">
        <v>1</v>
      </c>
      <c r="G2247" s="2">
        <v>1</v>
      </c>
      <c r="H2247" s="2">
        <v>1</v>
      </c>
    </row>
    <row r="2248" spans="1:8" x14ac:dyDescent="0.25">
      <c r="A2248" s="1" t="str">
        <f>"48341"</f>
        <v>48341</v>
      </c>
      <c r="B2248" s="1" t="str">
        <f>"47664"</f>
        <v>47664</v>
      </c>
      <c r="C2248" s="1" t="str">
        <f>"PONTIAC"</f>
        <v>PONTIAC</v>
      </c>
      <c r="D2248" s="1" t="str">
        <f>"MI"</f>
        <v>MI</v>
      </c>
      <c r="E2248" s="2">
        <v>1</v>
      </c>
      <c r="F2248" s="2">
        <v>1</v>
      </c>
      <c r="G2248" s="2">
        <v>1</v>
      </c>
      <c r="H2248" s="2">
        <v>1</v>
      </c>
    </row>
    <row r="2249" spans="1:8" x14ac:dyDescent="0.25">
      <c r="A2249" s="1" t="str">
        <f>"48134"</f>
        <v>48134</v>
      </c>
      <c r="B2249" s="1" t="str">
        <f>"19804"</f>
        <v>19804</v>
      </c>
      <c r="C2249" s="1" t="str">
        <f>"FLAT ROCK"</f>
        <v>FLAT ROCK</v>
      </c>
      <c r="D2249" s="1" t="str">
        <f>"MI"</f>
        <v>MI</v>
      </c>
      <c r="E2249" s="2">
        <v>1</v>
      </c>
      <c r="F2249" s="2">
        <v>1</v>
      </c>
      <c r="G2249" s="2">
        <v>1</v>
      </c>
      <c r="H2249" s="2">
        <v>1</v>
      </c>
    </row>
    <row r="2250" spans="1:8" x14ac:dyDescent="0.25">
      <c r="A2250" s="1" t="str">
        <f>"60452"</f>
        <v>60452</v>
      </c>
      <c r="B2250" s="1" t="str">
        <f>"16984"</f>
        <v>16984</v>
      </c>
      <c r="C2250" s="1" t="str">
        <f>"OAK FOREST"</f>
        <v>OAK FOREST</v>
      </c>
      <c r="D2250" s="1" t="str">
        <f t="shared" ref="D2250:D2260" si="162">"IL"</f>
        <v>IL</v>
      </c>
      <c r="E2250" s="2">
        <v>1</v>
      </c>
      <c r="F2250" s="2">
        <v>1</v>
      </c>
      <c r="G2250" s="2">
        <v>1</v>
      </c>
      <c r="H2250" s="2">
        <v>1</v>
      </c>
    </row>
    <row r="2251" spans="1:8" x14ac:dyDescent="0.25">
      <c r="A2251" s="1" t="str">
        <f>"60464"</f>
        <v>60464</v>
      </c>
      <c r="B2251" s="1" t="str">
        <f>"16984"</f>
        <v>16984</v>
      </c>
      <c r="C2251" s="1" t="str">
        <f>"PALOS PARK"</f>
        <v>PALOS PARK</v>
      </c>
      <c r="D2251" s="1" t="str">
        <f t="shared" si="162"/>
        <v>IL</v>
      </c>
      <c r="E2251" s="2">
        <v>1</v>
      </c>
      <c r="F2251" s="2">
        <v>1</v>
      </c>
      <c r="G2251" s="2">
        <v>1</v>
      </c>
      <c r="H2251" s="2">
        <v>1</v>
      </c>
    </row>
    <row r="2252" spans="1:8" x14ac:dyDescent="0.25">
      <c r="A2252" s="1" t="str">
        <f>"60513"</f>
        <v>60513</v>
      </c>
      <c r="B2252" s="1" t="str">
        <f>"16984"</f>
        <v>16984</v>
      </c>
      <c r="C2252" s="1" t="str">
        <f>"BROOKFIELD"</f>
        <v>BROOKFIELD</v>
      </c>
      <c r="D2252" s="1" t="str">
        <f t="shared" si="162"/>
        <v>IL</v>
      </c>
      <c r="E2252" s="2">
        <v>1</v>
      </c>
      <c r="F2252" s="2">
        <v>1</v>
      </c>
      <c r="G2252" s="2">
        <v>1</v>
      </c>
      <c r="H2252" s="2">
        <v>1</v>
      </c>
    </row>
    <row r="2253" spans="1:8" x14ac:dyDescent="0.25">
      <c r="A2253" s="1" t="str">
        <f>"60119"</f>
        <v>60119</v>
      </c>
      <c r="B2253" s="1" t="str">
        <f>"20994"</f>
        <v>20994</v>
      </c>
      <c r="C2253" s="1" t="str">
        <f>"ELBURN"</f>
        <v>ELBURN</v>
      </c>
      <c r="D2253" s="1" t="str">
        <f t="shared" si="162"/>
        <v>IL</v>
      </c>
      <c r="E2253" s="2">
        <v>1</v>
      </c>
      <c r="F2253" s="2">
        <v>1</v>
      </c>
      <c r="G2253" s="2">
        <v>1</v>
      </c>
      <c r="H2253" s="2">
        <v>1</v>
      </c>
    </row>
    <row r="2254" spans="1:8" x14ac:dyDescent="0.25">
      <c r="A2254" s="1" t="str">
        <f>"60151"</f>
        <v>60151</v>
      </c>
      <c r="B2254" s="1" t="str">
        <f>"20994"</f>
        <v>20994</v>
      </c>
      <c r="C2254" s="1" t="str">
        <f>"MAPLE PARK"</f>
        <v>MAPLE PARK</v>
      </c>
      <c r="D2254" s="1" t="str">
        <f t="shared" si="162"/>
        <v>IL</v>
      </c>
      <c r="E2254" s="2">
        <v>1</v>
      </c>
      <c r="F2254" s="2">
        <v>1</v>
      </c>
      <c r="G2254" s="2">
        <v>1</v>
      </c>
      <c r="H2254" s="2">
        <v>1</v>
      </c>
    </row>
    <row r="2255" spans="1:8" x14ac:dyDescent="0.25">
      <c r="A2255" s="1" t="str">
        <f>"60014"</f>
        <v>60014</v>
      </c>
      <c r="B2255" s="1" t="str">
        <f t="shared" ref="B2255:B2260" si="163">"16984"</f>
        <v>16984</v>
      </c>
      <c r="C2255" s="1" t="str">
        <f>"CRYSTAL LAKE"</f>
        <v>CRYSTAL LAKE</v>
      </c>
      <c r="D2255" s="1" t="str">
        <f t="shared" si="162"/>
        <v>IL</v>
      </c>
      <c r="E2255" s="2">
        <v>1</v>
      </c>
      <c r="F2255" s="2">
        <v>1</v>
      </c>
      <c r="G2255" s="2">
        <v>1</v>
      </c>
      <c r="H2255" s="2">
        <v>1</v>
      </c>
    </row>
    <row r="2256" spans="1:8" x14ac:dyDescent="0.25">
      <c r="A2256" s="1" t="str">
        <f>"60651"</f>
        <v>60651</v>
      </c>
      <c r="B2256" s="1" t="str">
        <f t="shared" si="163"/>
        <v>16984</v>
      </c>
      <c r="C2256" s="1" t="str">
        <f>"CHICAGO"</f>
        <v>CHICAGO</v>
      </c>
      <c r="D2256" s="1" t="str">
        <f t="shared" si="162"/>
        <v>IL</v>
      </c>
      <c r="E2256" s="2">
        <v>1</v>
      </c>
      <c r="F2256" s="2">
        <v>1</v>
      </c>
      <c r="G2256" s="2">
        <v>1</v>
      </c>
      <c r="H2256" s="2">
        <v>1</v>
      </c>
    </row>
    <row r="2257" spans="1:8" x14ac:dyDescent="0.25">
      <c r="A2257" s="1" t="str">
        <f>"60653"</f>
        <v>60653</v>
      </c>
      <c r="B2257" s="1" t="str">
        <f t="shared" si="163"/>
        <v>16984</v>
      </c>
      <c r="C2257" s="1" t="str">
        <f>"CHICAGO"</f>
        <v>CHICAGO</v>
      </c>
      <c r="D2257" s="1" t="str">
        <f t="shared" si="162"/>
        <v>IL</v>
      </c>
      <c r="E2257" s="2">
        <v>1</v>
      </c>
      <c r="F2257" s="2">
        <v>1</v>
      </c>
      <c r="G2257" s="2">
        <v>1</v>
      </c>
      <c r="H2257" s="2">
        <v>1</v>
      </c>
    </row>
    <row r="2258" spans="1:8" x14ac:dyDescent="0.25">
      <c r="A2258" s="1" t="str">
        <f>"60675"</f>
        <v>60675</v>
      </c>
      <c r="B2258" s="1" t="str">
        <f t="shared" si="163"/>
        <v>16984</v>
      </c>
      <c r="C2258" s="1" t="str">
        <f>"CHICAGO"</f>
        <v>CHICAGO</v>
      </c>
      <c r="D2258" s="1" t="str">
        <f t="shared" si="162"/>
        <v>IL</v>
      </c>
      <c r="E2258" s="2">
        <v>0</v>
      </c>
      <c r="F2258" s="2">
        <v>1</v>
      </c>
      <c r="G2258" s="2">
        <v>1</v>
      </c>
      <c r="H2258" s="2">
        <v>1</v>
      </c>
    </row>
    <row r="2259" spans="1:8" x14ac:dyDescent="0.25">
      <c r="A2259" s="1" t="str">
        <f>"60707"</f>
        <v>60707</v>
      </c>
      <c r="B2259" s="1" t="str">
        <f t="shared" si="163"/>
        <v>16984</v>
      </c>
      <c r="C2259" s="1" t="str">
        <f>"ELMWOOD PARK"</f>
        <v>ELMWOOD PARK</v>
      </c>
      <c r="D2259" s="1" t="str">
        <f t="shared" si="162"/>
        <v>IL</v>
      </c>
      <c r="E2259" s="2">
        <v>1</v>
      </c>
      <c r="F2259" s="2">
        <v>1</v>
      </c>
      <c r="G2259" s="2">
        <v>1</v>
      </c>
      <c r="H2259" s="2">
        <v>1</v>
      </c>
    </row>
    <row r="2260" spans="1:8" x14ac:dyDescent="0.25">
      <c r="A2260" s="1" t="str">
        <f>"60606"</f>
        <v>60606</v>
      </c>
      <c r="B2260" s="1" t="str">
        <f t="shared" si="163"/>
        <v>16984</v>
      </c>
      <c r="C2260" s="1" t="str">
        <f>"CHICAGO"</f>
        <v>CHICAGO</v>
      </c>
      <c r="D2260" s="1" t="str">
        <f t="shared" si="162"/>
        <v>IL</v>
      </c>
      <c r="E2260" s="2">
        <v>1</v>
      </c>
      <c r="F2260" s="2">
        <v>1</v>
      </c>
      <c r="G2260" s="2">
        <v>1</v>
      </c>
      <c r="H2260" s="2">
        <v>1</v>
      </c>
    </row>
    <row r="2261" spans="1:8" x14ac:dyDescent="0.25">
      <c r="A2261" s="1" t="str">
        <f>"75029"</f>
        <v>75029</v>
      </c>
      <c r="B2261" s="1" t="str">
        <f t="shared" ref="B2261:B2273" si="164">"19124"</f>
        <v>19124</v>
      </c>
      <c r="C2261" s="1" t="str">
        <f>"LEWISVILLE"</f>
        <v>LEWISVILLE</v>
      </c>
      <c r="D2261" s="1" t="str">
        <f t="shared" ref="D2261:D2274" si="165">"TX"</f>
        <v>TX</v>
      </c>
      <c r="E2261" s="2">
        <v>1</v>
      </c>
      <c r="F2261" s="2">
        <v>1</v>
      </c>
      <c r="G2261" s="2">
        <v>1</v>
      </c>
      <c r="H2261" s="2">
        <v>1</v>
      </c>
    </row>
    <row r="2262" spans="1:8" x14ac:dyDescent="0.25">
      <c r="A2262" s="1" t="str">
        <f>"75057"</f>
        <v>75057</v>
      </c>
      <c r="B2262" s="1" t="str">
        <f t="shared" si="164"/>
        <v>19124</v>
      </c>
      <c r="C2262" s="1" t="str">
        <f>"LEWISVILLE"</f>
        <v>LEWISVILLE</v>
      </c>
      <c r="D2262" s="1" t="str">
        <f t="shared" si="165"/>
        <v>TX</v>
      </c>
      <c r="E2262" s="2">
        <v>1</v>
      </c>
      <c r="F2262" s="2">
        <v>1</v>
      </c>
      <c r="G2262" s="2">
        <v>1</v>
      </c>
      <c r="H2262" s="2">
        <v>1</v>
      </c>
    </row>
    <row r="2263" spans="1:8" x14ac:dyDescent="0.25">
      <c r="A2263" s="1" t="str">
        <f>"75241"</f>
        <v>75241</v>
      </c>
      <c r="B2263" s="1" t="str">
        <f t="shared" si="164"/>
        <v>19124</v>
      </c>
      <c r="C2263" s="1" t="str">
        <f>"DALLAS"</f>
        <v>DALLAS</v>
      </c>
      <c r="D2263" s="1" t="str">
        <f t="shared" si="165"/>
        <v>TX</v>
      </c>
      <c r="E2263" s="2">
        <v>1</v>
      </c>
      <c r="F2263" s="2">
        <v>1</v>
      </c>
      <c r="G2263" s="2">
        <v>1</v>
      </c>
      <c r="H2263" s="2">
        <v>1</v>
      </c>
    </row>
    <row r="2264" spans="1:8" x14ac:dyDescent="0.25">
      <c r="A2264" s="1" t="str">
        <f>"75231"</f>
        <v>75231</v>
      </c>
      <c r="B2264" s="1" t="str">
        <f t="shared" si="164"/>
        <v>19124</v>
      </c>
      <c r="C2264" s="1" t="str">
        <f>"DALLAS"</f>
        <v>DALLAS</v>
      </c>
      <c r="D2264" s="1" t="str">
        <f t="shared" si="165"/>
        <v>TX</v>
      </c>
      <c r="E2264" s="2">
        <v>1</v>
      </c>
      <c r="F2264" s="2">
        <v>1</v>
      </c>
      <c r="G2264" s="2">
        <v>1</v>
      </c>
      <c r="H2264" s="2">
        <v>1</v>
      </c>
    </row>
    <row r="2265" spans="1:8" x14ac:dyDescent="0.25">
      <c r="A2265" s="1" t="str">
        <f>"75378"</f>
        <v>75378</v>
      </c>
      <c r="B2265" s="1" t="str">
        <f t="shared" si="164"/>
        <v>19124</v>
      </c>
      <c r="C2265" s="1" t="str">
        <f>"DALLAS"</f>
        <v>DALLAS</v>
      </c>
      <c r="D2265" s="1" t="str">
        <f t="shared" si="165"/>
        <v>TX</v>
      </c>
      <c r="E2265" s="2">
        <v>1</v>
      </c>
      <c r="F2265" s="2">
        <v>1</v>
      </c>
      <c r="G2265" s="2">
        <v>1</v>
      </c>
      <c r="H2265" s="2">
        <v>1</v>
      </c>
    </row>
    <row r="2266" spans="1:8" x14ac:dyDescent="0.25">
      <c r="A2266" s="1" t="str">
        <f>"75249"</f>
        <v>75249</v>
      </c>
      <c r="B2266" s="1" t="str">
        <f t="shared" si="164"/>
        <v>19124</v>
      </c>
      <c r="C2266" s="1" t="str">
        <f>"DALLAS"</f>
        <v>DALLAS</v>
      </c>
      <c r="D2266" s="1" t="str">
        <f t="shared" si="165"/>
        <v>TX</v>
      </c>
      <c r="E2266" s="2">
        <v>1</v>
      </c>
      <c r="F2266" s="2">
        <v>1</v>
      </c>
      <c r="G2266" s="2">
        <v>1</v>
      </c>
      <c r="H2266" s="2">
        <v>1</v>
      </c>
    </row>
    <row r="2267" spans="1:8" x14ac:dyDescent="0.25">
      <c r="A2267" s="1" t="str">
        <f>"75104"</f>
        <v>75104</v>
      </c>
      <c r="B2267" s="1" t="str">
        <f t="shared" si="164"/>
        <v>19124</v>
      </c>
      <c r="C2267" s="1" t="str">
        <f>"CEDAR HILL"</f>
        <v>CEDAR HILL</v>
      </c>
      <c r="D2267" s="1" t="str">
        <f t="shared" si="165"/>
        <v>TX</v>
      </c>
      <c r="E2267" s="2">
        <v>1</v>
      </c>
      <c r="F2267" s="2">
        <v>1</v>
      </c>
      <c r="G2267" s="2">
        <v>1</v>
      </c>
      <c r="H2267" s="2">
        <v>1</v>
      </c>
    </row>
    <row r="2268" spans="1:8" x14ac:dyDescent="0.25">
      <c r="A2268" s="1" t="str">
        <f>"75138"</f>
        <v>75138</v>
      </c>
      <c r="B2268" s="1" t="str">
        <f t="shared" si="164"/>
        <v>19124</v>
      </c>
      <c r="C2268" s="1" t="str">
        <f>"DUNCANVILLE"</f>
        <v>DUNCANVILLE</v>
      </c>
      <c r="D2268" s="1" t="str">
        <f t="shared" si="165"/>
        <v>TX</v>
      </c>
      <c r="E2268" s="2">
        <v>1</v>
      </c>
      <c r="F2268" s="2">
        <v>1</v>
      </c>
      <c r="G2268" s="2">
        <v>1</v>
      </c>
      <c r="H2268" s="2">
        <v>1</v>
      </c>
    </row>
    <row r="2269" spans="1:8" x14ac:dyDescent="0.25">
      <c r="A2269" s="1" t="str">
        <f>"75074"</f>
        <v>75074</v>
      </c>
      <c r="B2269" s="1" t="str">
        <f t="shared" si="164"/>
        <v>19124</v>
      </c>
      <c r="C2269" s="1" t="str">
        <f>"PLANO"</f>
        <v>PLANO</v>
      </c>
      <c r="D2269" s="1" t="str">
        <f t="shared" si="165"/>
        <v>TX</v>
      </c>
      <c r="E2269" s="2">
        <v>1</v>
      </c>
      <c r="F2269" s="2">
        <v>1</v>
      </c>
      <c r="G2269" s="2">
        <v>1</v>
      </c>
      <c r="H2269" s="2">
        <v>1</v>
      </c>
    </row>
    <row r="2270" spans="1:8" x14ac:dyDescent="0.25">
      <c r="A2270" s="1" t="str">
        <f>"75082"</f>
        <v>75082</v>
      </c>
      <c r="B2270" s="1" t="str">
        <f t="shared" si="164"/>
        <v>19124</v>
      </c>
      <c r="C2270" s="1" t="str">
        <f>"RICHARDSON"</f>
        <v>RICHARDSON</v>
      </c>
      <c r="D2270" s="1" t="str">
        <f t="shared" si="165"/>
        <v>TX</v>
      </c>
      <c r="E2270" s="2">
        <v>1</v>
      </c>
      <c r="F2270" s="2">
        <v>1</v>
      </c>
      <c r="G2270" s="2">
        <v>1</v>
      </c>
      <c r="H2270" s="2">
        <v>1</v>
      </c>
    </row>
    <row r="2271" spans="1:8" x14ac:dyDescent="0.25">
      <c r="A2271" s="1" t="str">
        <f>"75169"</f>
        <v>75169</v>
      </c>
      <c r="B2271" s="1" t="str">
        <f t="shared" si="164"/>
        <v>19124</v>
      </c>
      <c r="C2271" s="1" t="str">
        <f>"WILLS POINT"</f>
        <v>WILLS POINT</v>
      </c>
      <c r="D2271" s="1" t="str">
        <f t="shared" si="165"/>
        <v>TX</v>
      </c>
      <c r="E2271" s="2">
        <v>1</v>
      </c>
      <c r="F2271" s="2">
        <v>1</v>
      </c>
      <c r="G2271" s="2">
        <v>1</v>
      </c>
      <c r="H2271" s="2">
        <v>1</v>
      </c>
    </row>
    <row r="2272" spans="1:8" x14ac:dyDescent="0.25">
      <c r="A2272" s="1" t="str">
        <f>"75168"</f>
        <v>75168</v>
      </c>
      <c r="B2272" s="1" t="str">
        <f t="shared" si="164"/>
        <v>19124</v>
      </c>
      <c r="C2272" s="1" t="str">
        <f>"WAXAHACHIE"</f>
        <v>WAXAHACHIE</v>
      </c>
      <c r="D2272" s="1" t="str">
        <f t="shared" si="165"/>
        <v>TX</v>
      </c>
      <c r="E2272" s="2">
        <v>1</v>
      </c>
      <c r="F2272" s="2">
        <v>1</v>
      </c>
      <c r="G2272" s="2">
        <v>1</v>
      </c>
      <c r="H2272" s="2">
        <v>1</v>
      </c>
    </row>
    <row r="2273" spans="1:8" x14ac:dyDescent="0.25">
      <c r="A2273" s="1" t="str">
        <f>"75202"</f>
        <v>75202</v>
      </c>
      <c r="B2273" s="1" t="str">
        <f t="shared" si="164"/>
        <v>19124</v>
      </c>
      <c r="C2273" s="1" t="str">
        <f>"DALLAS"</f>
        <v>DALLAS</v>
      </c>
      <c r="D2273" s="1" t="str">
        <f t="shared" si="165"/>
        <v>TX</v>
      </c>
      <c r="E2273" s="2">
        <v>1</v>
      </c>
      <c r="F2273" s="2">
        <v>1</v>
      </c>
      <c r="G2273" s="2">
        <v>1</v>
      </c>
      <c r="H2273" s="2">
        <v>1</v>
      </c>
    </row>
    <row r="2274" spans="1:8" x14ac:dyDescent="0.25">
      <c r="A2274" s="1" t="str">
        <f>"76053"</f>
        <v>76053</v>
      </c>
      <c r="B2274" s="1" t="str">
        <f>"23104"</f>
        <v>23104</v>
      </c>
      <c r="C2274" s="1" t="str">
        <f>"HURST"</f>
        <v>HURST</v>
      </c>
      <c r="D2274" s="1" t="str">
        <f t="shared" si="165"/>
        <v>TX</v>
      </c>
      <c r="E2274" s="2">
        <v>1</v>
      </c>
      <c r="F2274" s="2">
        <v>1</v>
      </c>
      <c r="G2274" s="2">
        <v>1</v>
      </c>
      <c r="H2274" s="2">
        <v>1</v>
      </c>
    </row>
    <row r="2275" spans="1:8" x14ac:dyDescent="0.25">
      <c r="A2275" s="1" t="str">
        <f>"90006"</f>
        <v>90006</v>
      </c>
      <c r="B2275" s="1" t="str">
        <f t="shared" ref="B2275:B2284" si="166">"31084"</f>
        <v>31084</v>
      </c>
      <c r="C2275" s="1" t="str">
        <f>"LOS ANGELES"</f>
        <v>LOS ANGELES</v>
      </c>
      <c r="D2275" s="1" t="str">
        <f t="shared" ref="D2275:D2293" si="167">"CA"</f>
        <v>CA</v>
      </c>
      <c r="E2275" s="2">
        <v>1</v>
      </c>
      <c r="F2275" s="2">
        <v>1</v>
      </c>
      <c r="G2275" s="2">
        <v>1</v>
      </c>
      <c r="H2275" s="2">
        <v>1</v>
      </c>
    </row>
    <row r="2276" spans="1:8" x14ac:dyDescent="0.25">
      <c r="A2276" s="1" t="str">
        <f>"90063"</f>
        <v>90063</v>
      </c>
      <c r="B2276" s="1" t="str">
        <f t="shared" si="166"/>
        <v>31084</v>
      </c>
      <c r="C2276" s="1" t="str">
        <f>"LOS ANGELES"</f>
        <v>LOS ANGELES</v>
      </c>
      <c r="D2276" s="1" t="str">
        <f t="shared" si="167"/>
        <v>CA</v>
      </c>
      <c r="E2276" s="2">
        <v>1</v>
      </c>
      <c r="F2276" s="2">
        <v>1</v>
      </c>
      <c r="G2276" s="2">
        <v>1</v>
      </c>
      <c r="H2276" s="2">
        <v>1</v>
      </c>
    </row>
    <row r="2277" spans="1:8" x14ac:dyDescent="0.25">
      <c r="A2277" s="1" t="str">
        <f>"90272"</f>
        <v>90272</v>
      </c>
      <c r="B2277" s="1" t="str">
        <f t="shared" si="166"/>
        <v>31084</v>
      </c>
      <c r="C2277" s="1" t="str">
        <f>"PACIFIC PALISADES"</f>
        <v>PACIFIC PALISADES</v>
      </c>
      <c r="D2277" s="1" t="str">
        <f t="shared" si="167"/>
        <v>CA</v>
      </c>
      <c r="E2277" s="2">
        <v>1</v>
      </c>
      <c r="F2277" s="2">
        <v>1</v>
      </c>
      <c r="G2277" s="2">
        <v>1</v>
      </c>
      <c r="H2277" s="2">
        <v>1</v>
      </c>
    </row>
    <row r="2278" spans="1:8" x14ac:dyDescent="0.25">
      <c r="A2278" s="1" t="str">
        <f>"90278"</f>
        <v>90278</v>
      </c>
      <c r="B2278" s="1" t="str">
        <f t="shared" si="166"/>
        <v>31084</v>
      </c>
      <c r="C2278" s="1" t="str">
        <f>"REDONDO BEACH"</f>
        <v>REDONDO BEACH</v>
      </c>
      <c r="D2278" s="1" t="str">
        <f t="shared" si="167"/>
        <v>CA</v>
      </c>
      <c r="E2278" s="2">
        <v>1</v>
      </c>
      <c r="F2278" s="2">
        <v>1</v>
      </c>
      <c r="G2278" s="2">
        <v>1</v>
      </c>
      <c r="H2278" s="2">
        <v>1</v>
      </c>
    </row>
    <row r="2279" spans="1:8" x14ac:dyDescent="0.25">
      <c r="A2279" s="1" t="str">
        <f>"91340"</f>
        <v>91340</v>
      </c>
      <c r="B2279" s="1" t="str">
        <f t="shared" si="166"/>
        <v>31084</v>
      </c>
      <c r="C2279" s="1" t="str">
        <f>"SAN FERNANDO"</f>
        <v>SAN FERNANDO</v>
      </c>
      <c r="D2279" s="1" t="str">
        <f t="shared" si="167"/>
        <v>CA</v>
      </c>
      <c r="E2279" s="2">
        <v>1</v>
      </c>
      <c r="F2279" s="2">
        <v>1</v>
      </c>
      <c r="G2279" s="2">
        <v>1</v>
      </c>
      <c r="H2279" s="2">
        <v>1</v>
      </c>
    </row>
    <row r="2280" spans="1:8" x14ac:dyDescent="0.25">
      <c r="A2280" s="1" t="str">
        <f>"91324"</f>
        <v>91324</v>
      </c>
      <c r="B2280" s="1" t="str">
        <f t="shared" si="166"/>
        <v>31084</v>
      </c>
      <c r="C2280" s="1" t="str">
        <f>"NORTHRIDGE"</f>
        <v>NORTHRIDGE</v>
      </c>
      <c r="D2280" s="1" t="str">
        <f t="shared" si="167"/>
        <v>CA</v>
      </c>
      <c r="E2280" s="2">
        <v>1</v>
      </c>
      <c r="F2280" s="2">
        <v>1</v>
      </c>
      <c r="G2280" s="2">
        <v>1</v>
      </c>
      <c r="H2280" s="2">
        <v>1</v>
      </c>
    </row>
    <row r="2281" spans="1:8" x14ac:dyDescent="0.25">
      <c r="A2281" s="1" t="str">
        <f>"91325"</f>
        <v>91325</v>
      </c>
      <c r="B2281" s="1" t="str">
        <f t="shared" si="166"/>
        <v>31084</v>
      </c>
      <c r="C2281" s="1" t="str">
        <f>"NORTHRIDGE"</f>
        <v>NORTHRIDGE</v>
      </c>
      <c r="D2281" s="1" t="str">
        <f t="shared" si="167"/>
        <v>CA</v>
      </c>
      <c r="E2281" s="2">
        <v>1</v>
      </c>
      <c r="F2281" s="2">
        <v>1</v>
      </c>
      <c r="G2281" s="2">
        <v>1</v>
      </c>
      <c r="H2281" s="2">
        <v>1</v>
      </c>
    </row>
    <row r="2282" spans="1:8" x14ac:dyDescent="0.25">
      <c r="A2282" s="1" t="str">
        <f>"90701"</f>
        <v>90701</v>
      </c>
      <c r="B2282" s="1" t="str">
        <f t="shared" si="166"/>
        <v>31084</v>
      </c>
      <c r="C2282" s="1" t="str">
        <f>"ARTESIA"</f>
        <v>ARTESIA</v>
      </c>
      <c r="D2282" s="1" t="str">
        <f t="shared" si="167"/>
        <v>CA</v>
      </c>
      <c r="E2282" s="2">
        <v>1</v>
      </c>
      <c r="F2282" s="2">
        <v>1</v>
      </c>
      <c r="G2282" s="2">
        <v>1</v>
      </c>
      <c r="H2282" s="2">
        <v>1</v>
      </c>
    </row>
    <row r="2283" spans="1:8" x14ac:dyDescent="0.25">
      <c r="A2283" s="1" t="str">
        <f>"90717"</f>
        <v>90717</v>
      </c>
      <c r="B2283" s="1" t="str">
        <f t="shared" si="166"/>
        <v>31084</v>
      </c>
      <c r="C2283" s="1" t="str">
        <f>"LOMITA"</f>
        <v>LOMITA</v>
      </c>
      <c r="D2283" s="1" t="str">
        <f t="shared" si="167"/>
        <v>CA</v>
      </c>
      <c r="E2283" s="2">
        <v>1</v>
      </c>
      <c r="F2283" s="2">
        <v>1</v>
      </c>
      <c r="G2283" s="2">
        <v>1</v>
      </c>
      <c r="H2283" s="2">
        <v>1</v>
      </c>
    </row>
    <row r="2284" spans="1:8" x14ac:dyDescent="0.25">
      <c r="A2284" s="1" t="str">
        <f>"90749"</f>
        <v>90749</v>
      </c>
      <c r="B2284" s="1" t="str">
        <f t="shared" si="166"/>
        <v>31084</v>
      </c>
      <c r="C2284" s="1" t="str">
        <f>"CARSON"</f>
        <v>CARSON</v>
      </c>
      <c r="D2284" s="1" t="str">
        <f t="shared" si="167"/>
        <v>CA</v>
      </c>
      <c r="E2284" s="2">
        <v>1</v>
      </c>
      <c r="F2284" s="2">
        <v>1</v>
      </c>
      <c r="G2284" s="2">
        <v>1</v>
      </c>
      <c r="H2284" s="2">
        <v>1</v>
      </c>
    </row>
    <row r="2285" spans="1:8" x14ac:dyDescent="0.25">
      <c r="A2285" s="1" t="str">
        <f>"92801"</f>
        <v>92801</v>
      </c>
      <c r="B2285" s="1" t="str">
        <f>"11244"</f>
        <v>11244</v>
      </c>
      <c r="C2285" s="1" t="str">
        <f>"ANAHEIM"</f>
        <v>ANAHEIM</v>
      </c>
      <c r="D2285" s="1" t="str">
        <f t="shared" si="167"/>
        <v>CA</v>
      </c>
      <c r="E2285" s="2">
        <v>1</v>
      </c>
      <c r="F2285" s="2">
        <v>1</v>
      </c>
      <c r="G2285" s="2">
        <v>1</v>
      </c>
      <c r="H2285" s="2">
        <v>1</v>
      </c>
    </row>
    <row r="2286" spans="1:8" x14ac:dyDescent="0.25">
      <c r="A2286" s="1" t="str">
        <f>"92799"</f>
        <v>92799</v>
      </c>
      <c r="B2286" s="1" t="str">
        <f>"11244"</f>
        <v>11244</v>
      </c>
      <c r="C2286" s="1" t="str">
        <f>"SANTA ANA"</f>
        <v>SANTA ANA</v>
      </c>
      <c r="D2286" s="1" t="str">
        <f t="shared" si="167"/>
        <v>CA</v>
      </c>
      <c r="E2286" s="2">
        <v>1</v>
      </c>
      <c r="F2286" s="2">
        <v>1</v>
      </c>
      <c r="G2286" s="2">
        <v>1</v>
      </c>
      <c r="H2286" s="2">
        <v>1</v>
      </c>
    </row>
    <row r="2287" spans="1:8" x14ac:dyDescent="0.25">
      <c r="A2287" s="1" t="str">
        <f>"91706"</f>
        <v>91706</v>
      </c>
      <c r="B2287" s="1" t="str">
        <f>"31084"</f>
        <v>31084</v>
      </c>
      <c r="C2287" s="1" t="str">
        <f>"BALDWIN PARK"</f>
        <v>BALDWIN PARK</v>
      </c>
      <c r="D2287" s="1" t="str">
        <f t="shared" si="167"/>
        <v>CA</v>
      </c>
      <c r="E2287" s="2">
        <v>1</v>
      </c>
      <c r="F2287" s="2">
        <v>1</v>
      </c>
      <c r="G2287" s="2">
        <v>1</v>
      </c>
      <c r="H2287" s="2">
        <v>1</v>
      </c>
    </row>
    <row r="2288" spans="1:8" x14ac:dyDescent="0.25">
      <c r="A2288" s="1" t="str">
        <f>"92871"</f>
        <v>92871</v>
      </c>
      <c r="B2288" s="1" t="str">
        <f>"11244"</f>
        <v>11244</v>
      </c>
      <c r="C2288" s="1" t="str">
        <f>"PLACENTIA"</f>
        <v>PLACENTIA</v>
      </c>
      <c r="D2288" s="1" t="str">
        <f t="shared" si="167"/>
        <v>CA</v>
      </c>
      <c r="E2288" s="2">
        <v>1</v>
      </c>
      <c r="F2288" s="2">
        <v>1</v>
      </c>
      <c r="G2288" s="2">
        <v>1</v>
      </c>
      <c r="H2288" s="2">
        <v>1</v>
      </c>
    </row>
    <row r="2289" spans="1:8" x14ac:dyDescent="0.25">
      <c r="A2289" s="1" t="str">
        <f>"92614"</f>
        <v>92614</v>
      </c>
      <c r="B2289" s="1" t="str">
        <f>"11244"</f>
        <v>11244</v>
      </c>
      <c r="C2289" s="1" t="str">
        <f>"IRVINE"</f>
        <v>IRVINE</v>
      </c>
      <c r="D2289" s="1" t="str">
        <f t="shared" si="167"/>
        <v>CA</v>
      </c>
      <c r="E2289" s="2">
        <v>1</v>
      </c>
      <c r="F2289" s="2">
        <v>1</v>
      </c>
      <c r="G2289" s="2">
        <v>1</v>
      </c>
      <c r="H2289" s="2">
        <v>1</v>
      </c>
    </row>
    <row r="2290" spans="1:8" x14ac:dyDescent="0.25">
      <c r="A2290" s="1" t="str">
        <f>"92605"</f>
        <v>92605</v>
      </c>
      <c r="B2290" s="1" t="str">
        <f>"11244"</f>
        <v>11244</v>
      </c>
      <c r="C2290" s="1" t="str">
        <f>"HUNTINGTON BEACH"</f>
        <v>HUNTINGTON BEACH</v>
      </c>
      <c r="D2290" s="1" t="str">
        <f t="shared" si="167"/>
        <v>CA</v>
      </c>
      <c r="E2290" s="2">
        <v>1</v>
      </c>
      <c r="F2290" s="2">
        <v>1</v>
      </c>
      <c r="G2290" s="2">
        <v>1</v>
      </c>
      <c r="H2290" s="2">
        <v>1</v>
      </c>
    </row>
    <row r="2291" spans="1:8" x14ac:dyDescent="0.25">
      <c r="A2291" s="1" t="str">
        <f>"94560"</f>
        <v>94560</v>
      </c>
      <c r="B2291" s="1" t="str">
        <f>"36084"</f>
        <v>36084</v>
      </c>
      <c r="C2291" s="1" t="str">
        <f>"NEWARK"</f>
        <v>NEWARK</v>
      </c>
      <c r="D2291" s="1" t="str">
        <f t="shared" si="167"/>
        <v>CA</v>
      </c>
      <c r="E2291" s="2">
        <v>1</v>
      </c>
      <c r="F2291" s="2">
        <v>1</v>
      </c>
      <c r="G2291" s="2">
        <v>1</v>
      </c>
      <c r="H2291" s="2">
        <v>1</v>
      </c>
    </row>
    <row r="2292" spans="1:8" x14ac:dyDescent="0.25">
      <c r="A2292" s="1" t="str">
        <f>"94706"</f>
        <v>94706</v>
      </c>
      <c r="B2292" s="1" t="str">
        <f>"36084"</f>
        <v>36084</v>
      </c>
      <c r="C2292" s="1" t="str">
        <f>"ALBANY"</f>
        <v>ALBANY</v>
      </c>
      <c r="D2292" s="1" t="str">
        <f t="shared" si="167"/>
        <v>CA</v>
      </c>
      <c r="E2292" s="2">
        <v>1</v>
      </c>
      <c r="F2292" s="2">
        <v>1</v>
      </c>
      <c r="G2292" s="2">
        <v>1</v>
      </c>
      <c r="H2292" s="2">
        <v>1</v>
      </c>
    </row>
    <row r="2293" spans="1:8" x14ac:dyDescent="0.25">
      <c r="A2293" s="1" t="str">
        <f>"94580"</f>
        <v>94580</v>
      </c>
      <c r="B2293" s="1" t="str">
        <f>"36084"</f>
        <v>36084</v>
      </c>
      <c r="C2293" s="1" t="str">
        <f>"SAN LORENZO"</f>
        <v>SAN LORENZO</v>
      </c>
      <c r="D2293" s="1" t="str">
        <f t="shared" si="167"/>
        <v>CA</v>
      </c>
      <c r="E2293" s="2">
        <v>1</v>
      </c>
      <c r="F2293" s="2">
        <v>1</v>
      </c>
      <c r="G2293" s="2">
        <v>1</v>
      </c>
      <c r="H2293" s="2">
        <v>1</v>
      </c>
    </row>
    <row r="2294" spans="1:8" x14ac:dyDescent="0.25">
      <c r="A2294" s="1" t="str">
        <f>"98406"</f>
        <v>98406</v>
      </c>
      <c r="B2294" s="1" t="str">
        <f>"45104"</f>
        <v>45104</v>
      </c>
      <c r="C2294" s="1" t="str">
        <f>"TACOMA"</f>
        <v>TACOMA</v>
      </c>
      <c r="D2294" s="1" t="str">
        <f>"WA"</f>
        <v>WA</v>
      </c>
      <c r="E2294" s="2">
        <v>1</v>
      </c>
      <c r="F2294" s="2">
        <v>1</v>
      </c>
      <c r="G2294" s="2">
        <v>1</v>
      </c>
      <c r="H2294" s="2">
        <v>1</v>
      </c>
    </row>
    <row r="2295" spans="1:8" x14ac:dyDescent="0.25">
      <c r="A2295" s="1" t="str">
        <f>"98146"</f>
        <v>98146</v>
      </c>
      <c r="B2295" s="1" t="str">
        <f>"42644"</f>
        <v>42644</v>
      </c>
      <c r="C2295" s="1" t="str">
        <f>"SEATTLE"</f>
        <v>SEATTLE</v>
      </c>
      <c r="D2295" s="1" t="str">
        <f>"WA"</f>
        <v>WA</v>
      </c>
      <c r="E2295" s="2">
        <v>1</v>
      </c>
      <c r="F2295" s="2">
        <v>1</v>
      </c>
      <c r="G2295" s="2">
        <v>1</v>
      </c>
      <c r="H2295" s="2">
        <v>1</v>
      </c>
    </row>
    <row r="2296" spans="1:8" x14ac:dyDescent="0.25">
      <c r="A2296" s="1" t="str">
        <f>"98166"</f>
        <v>98166</v>
      </c>
      <c r="B2296" s="1" t="str">
        <f>"42644"</f>
        <v>42644</v>
      </c>
      <c r="C2296" s="1" t="str">
        <f>"SEATTLE"</f>
        <v>SEATTLE</v>
      </c>
      <c r="D2296" s="1" t="str">
        <f>"WA"</f>
        <v>WA</v>
      </c>
      <c r="E2296" s="2">
        <v>1</v>
      </c>
      <c r="F2296" s="2">
        <v>1</v>
      </c>
      <c r="G2296" s="2">
        <v>1</v>
      </c>
      <c r="H2296" s="2">
        <v>1</v>
      </c>
    </row>
    <row r="2297" spans="1:8" x14ac:dyDescent="0.25">
      <c r="A2297" s="1" t="str">
        <f>"02345"</f>
        <v>02345</v>
      </c>
      <c r="B2297" s="1" t="str">
        <f>"14454"</f>
        <v>14454</v>
      </c>
      <c r="C2297" s="1" t="str">
        <f>"MANOMET"</f>
        <v>MANOMET</v>
      </c>
      <c r="D2297" s="1" t="str">
        <f>"MA"</f>
        <v>MA</v>
      </c>
      <c r="E2297" s="2">
        <v>1</v>
      </c>
      <c r="F2297" s="2">
        <v>1</v>
      </c>
      <c r="G2297" s="2">
        <v>1</v>
      </c>
      <c r="H2297" s="2">
        <v>1</v>
      </c>
    </row>
    <row r="2298" spans="1:8" x14ac:dyDescent="0.25">
      <c r="A2298" s="1" t="str">
        <f>"07933"</f>
        <v>07933</v>
      </c>
      <c r="B2298" s="1" t="str">
        <f>"35084"</f>
        <v>35084</v>
      </c>
      <c r="C2298" s="1" t="str">
        <f>"GILLETTE"</f>
        <v>GILLETTE</v>
      </c>
      <c r="D2298" s="1" t="str">
        <f>"NJ"</f>
        <v>NJ</v>
      </c>
      <c r="E2298" s="2">
        <v>1</v>
      </c>
      <c r="F2298" s="2">
        <v>1</v>
      </c>
      <c r="G2298" s="2">
        <v>1</v>
      </c>
      <c r="H2298" s="2">
        <v>1</v>
      </c>
    </row>
    <row r="2299" spans="1:8" x14ac:dyDescent="0.25">
      <c r="A2299" s="1" t="str">
        <f>"19032"</f>
        <v>19032</v>
      </c>
      <c r="B2299" s="1" t="str">
        <f>"37964"</f>
        <v>37964</v>
      </c>
      <c r="C2299" s="1" t="str">
        <f>"FOLCROFT"</f>
        <v>FOLCROFT</v>
      </c>
      <c r="D2299" s="1" t="str">
        <f>"PA"</f>
        <v>PA</v>
      </c>
      <c r="E2299" s="2">
        <v>1</v>
      </c>
      <c r="F2299" s="2">
        <v>1</v>
      </c>
      <c r="G2299" s="2">
        <v>1</v>
      </c>
      <c r="H2299" s="2">
        <v>1</v>
      </c>
    </row>
    <row r="2300" spans="1:8" x14ac:dyDescent="0.25">
      <c r="A2300" s="1" t="str">
        <f>"19375"</f>
        <v>19375</v>
      </c>
      <c r="B2300" s="1" t="str">
        <f>"33874"</f>
        <v>33874</v>
      </c>
      <c r="C2300" s="1" t="str">
        <f>"UNIONVILLE"</f>
        <v>UNIONVILLE</v>
      </c>
      <c r="D2300" s="1" t="str">
        <f>"PA"</f>
        <v>PA</v>
      </c>
      <c r="E2300" s="2">
        <v>1</v>
      </c>
      <c r="F2300" s="2">
        <v>1</v>
      </c>
      <c r="G2300" s="2">
        <v>1</v>
      </c>
      <c r="H2300" s="2">
        <v>1</v>
      </c>
    </row>
    <row r="2301" spans="1:8" x14ac:dyDescent="0.25">
      <c r="A2301" s="1" t="str">
        <f>"19977"</f>
        <v>19977</v>
      </c>
      <c r="B2301" s="1" t="str">
        <f>"48864"</f>
        <v>48864</v>
      </c>
      <c r="C2301" s="1" t="str">
        <f>"SMYRNA"</f>
        <v>SMYRNA</v>
      </c>
      <c r="D2301" s="1" t="str">
        <f>"DE"</f>
        <v>DE</v>
      </c>
      <c r="E2301" s="2">
        <v>1</v>
      </c>
      <c r="F2301" s="2">
        <v>1</v>
      </c>
      <c r="G2301" s="2">
        <v>1</v>
      </c>
      <c r="H2301" s="2">
        <v>1</v>
      </c>
    </row>
    <row r="2302" spans="1:8" x14ac:dyDescent="0.25">
      <c r="A2302" s="1" t="str">
        <f>"48311"</f>
        <v>48311</v>
      </c>
      <c r="B2302" s="1" t="str">
        <f>"47664"</f>
        <v>47664</v>
      </c>
      <c r="C2302" s="1" t="str">
        <f>"STERLING HEIGHTS"</f>
        <v>STERLING HEIGHTS</v>
      </c>
      <c r="D2302" s="1" t="str">
        <f>"MI"</f>
        <v>MI</v>
      </c>
      <c r="E2302" s="2">
        <v>1</v>
      </c>
      <c r="F2302" s="2">
        <v>1</v>
      </c>
      <c r="G2302" s="2">
        <v>1</v>
      </c>
      <c r="H2302" s="2">
        <v>1</v>
      </c>
    </row>
    <row r="2303" spans="1:8" x14ac:dyDescent="0.25">
      <c r="A2303" s="1" t="str">
        <f>"48123"</f>
        <v>48123</v>
      </c>
      <c r="B2303" s="1" t="str">
        <f>"19804"</f>
        <v>19804</v>
      </c>
      <c r="C2303" s="1" t="str">
        <f>"DEARBORN"</f>
        <v>DEARBORN</v>
      </c>
      <c r="D2303" s="1" t="str">
        <f>"MI"</f>
        <v>MI</v>
      </c>
      <c r="E2303" s="2">
        <v>1</v>
      </c>
      <c r="F2303" s="2">
        <v>1</v>
      </c>
      <c r="G2303" s="2">
        <v>1</v>
      </c>
      <c r="H2303" s="2">
        <v>1</v>
      </c>
    </row>
    <row r="2304" spans="1:8" x14ac:dyDescent="0.25">
      <c r="A2304" s="1" t="str">
        <f>"60950"</f>
        <v>60950</v>
      </c>
      <c r="B2304" s="1" t="str">
        <f>"16984"</f>
        <v>16984</v>
      </c>
      <c r="C2304" s="1" t="str">
        <f>"MANTENO"</f>
        <v>MANTENO</v>
      </c>
      <c r="D2304" s="1" t="str">
        <f>"IL"</f>
        <v>IL</v>
      </c>
      <c r="E2304" s="2">
        <v>1</v>
      </c>
      <c r="F2304" s="2">
        <v>0</v>
      </c>
      <c r="G2304" s="2">
        <v>0</v>
      </c>
      <c r="H2304" s="2">
        <v>1</v>
      </c>
    </row>
    <row r="2305" spans="1:8" x14ac:dyDescent="0.25">
      <c r="A2305" s="1" t="str">
        <f>"60065"</f>
        <v>60065</v>
      </c>
      <c r="B2305" s="1" t="str">
        <f>"16984"</f>
        <v>16984</v>
      </c>
      <c r="C2305" s="1" t="str">
        <f>"NORTHBROOK"</f>
        <v>NORTHBROOK</v>
      </c>
      <c r="D2305" s="1" t="str">
        <f>"IL"</f>
        <v>IL</v>
      </c>
      <c r="E2305" s="2">
        <v>1</v>
      </c>
      <c r="F2305" s="2">
        <v>1</v>
      </c>
      <c r="G2305" s="2">
        <v>1</v>
      </c>
      <c r="H2305" s="2">
        <v>1</v>
      </c>
    </row>
    <row r="2306" spans="1:8" x14ac:dyDescent="0.25">
      <c r="A2306" s="1" t="str">
        <f>"75372"</f>
        <v>75372</v>
      </c>
      <c r="B2306" s="1" t="str">
        <f>"19124"</f>
        <v>19124</v>
      </c>
      <c r="C2306" s="1" t="str">
        <f>"DALLAS"</f>
        <v>DALLAS</v>
      </c>
      <c r="D2306" s="1" t="str">
        <f>"TX"</f>
        <v>TX</v>
      </c>
      <c r="E2306" s="2">
        <v>1</v>
      </c>
      <c r="F2306" s="2">
        <v>1</v>
      </c>
      <c r="G2306" s="2">
        <v>1</v>
      </c>
      <c r="H2306" s="2">
        <v>1</v>
      </c>
    </row>
    <row r="2307" spans="1:8" x14ac:dyDescent="0.25">
      <c r="A2307" s="1" t="str">
        <f>"91365"</f>
        <v>91365</v>
      </c>
      <c r="B2307" s="1" t="str">
        <f>"31084"</f>
        <v>31084</v>
      </c>
      <c r="C2307" s="1" t="str">
        <f>"WOODLAND HILLS"</f>
        <v>WOODLAND HILLS</v>
      </c>
      <c r="D2307" s="1" t="str">
        <f>"CA"</f>
        <v>CA</v>
      </c>
      <c r="E2307" s="2">
        <v>1</v>
      </c>
      <c r="F2307" s="2">
        <v>1</v>
      </c>
      <c r="G2307" s="2">
        <v>1</v>
      </c>
      <c r="H2307" s="2">
        <v>1</v>
      </c>
    </row>
    <row r="2308" spans="1:8" x14ac:dyDescent="0.25">
      <c r="A2308" s="1" t="str">
        <f>"91609"</f>
        <v>91609</v>
      </c>
      <c r="B2308" s="1" t="str">
        <f>"31084"</f>
        <v>31084</v>
      </c>
      <c r="C2308" s="1" t="str">
        <f>"NORTH HOLLYWOOD"</f>
        <v>NORTH HOLLYWOOD</v>
      </c>
      <c r="D2308" s="1" t="str">
        <f>"CA"</f>
        <v>CA</v>
      </c>
      <c r="E2308" s="2">
        <v>1</v>
      </c>
      <c r="F2308" s="2">
        <v>1</v>
      </c>
      <c r="G2308" s="2">
        <v>1</v>
      </c>
      <c r="H2308" s="2">
        <v>1</v>
      </c>
    </row>
    <row r="2309" spans="1:8" x14ac:dyDescent="0.25">
      <c r="A2309" s="1" t="str">
        <f>"90721"</f>
        <v>90721</v>
      </c>
      <c r="B2309" s="1" t="str">
        <f>"11244"</f>
        <v>11244</v>
      </c>
      <c r="C2309" s="1" t="str">
        <f>"LOS ALAMITOS"</f>
        <v>LOS ALAMITOS</v>
      </c>
      <c r="D2309" s="1" t="str">
        <f>"CA"</f>
        <v>CA</v>
      </c>
      <c r="E2309" s="2">
        <v>1</v>
      </c>
      <c r="F2309" s="2">
        <v>1</v>
      </c>
      <c r="G2309" s="2">
        <v>1</v>
      </c>
      <c r="H2309" s="2">
        <v>1</v>
      </c>
    </row>
    <row r="2310" spans="1:8" x14ac:dyDescent="0.25">
      <c r="A2310" s="1" t="str">
        <f>"93553"</f>
        <v>93553</v>
      </c>
      <c r="B2310" s="1" t="str">
        <f>"31084"</f>
        <v>31084</v>
      </c>
      <c r="C2310" s="1" t="str">
        <f>"PEARBLOSSOM"</f>
        <v>PEARBLOSSOM</v>
      </c>
      <c r="D2310" s="1" t="str">
        <f>"CA"</f>
        <v>CA</v>
      </c>
      <c r="E2310" s="2">
        <v>1</v>
      </c>
      <c r="F2310" s="2">
        <v>1</v>
      </c>
      <c r="G2310" s="2">
        <v>1</v>
      </c>
      <c r="H2310" s="2">
        <v>1</v>
      </c>
    </row>
    <row r="2311" spans="1:8" x14ac:dyDescent="0.25">
      <c r="A2311" s="1" t="str">
        <f>"98024"</f>
        <v>98024</v>
      </c>
      <c r="B2311" s="1" t="str">
        <f>"42644"</f>
        <v>42644</v>
      </c>
      <c r="C2311" s="1" t="str">
        <f>"FALL CITY"</f>
        <v>FALL CITY</v>
      </c>
      <c r="D2311" s="1" t="str">
        <f>"WA"</f>
        <v>WA</v>
      </c>
      <c r="E2311" s="2">
        <v>1</v>
      </c>
      <c r="F2311" s="2">
        <v>1</v>
      </c>
      <c r="G2311" s="2">
        <v>1</v>
      </c>
      <c r="H2311" s="2">
        <v>1</v>
      </c>
    </row>
    <row r="2312" spans="1:8" x14ac:dyDescent="0.25">
      <c r="A2312" s="1" t="str">
        <f>"07857"</f>
        <v>07857</v>
      </c>
      <c r="B2312" s="1" t="str">
        <f>"35084"</f>
        <v>35084</v>
      </c>
      <c r="C2312" s="1" t="str">
        <f>"NETCONG"</f>
        <v>NETCONG</v>
      </c>
      <c r="D2312" s="1" t="str">
        <f>"NJ"</f>
        <v>NJ</v>
      </c>
      <c r="E2312" s="2">
        <v>1</v>
      </c>
      <c r="F2312" s="2">
        <v>1</v>
      </c>
      <c r="G2312" s="2">
        <v>1</v>
      </c>
      <c r="H2312" s="2">
        <v>1</v>
      </c>
    </row>
    <row r="2313" spans="1:8" x14ac:dyDescent="0.25">
      <c r="A2313" s="1" t="str">
        <f>"10503"</f>
        <v>10503</v>
      </c>
      <c r="B2313" s="1" t="str">
        <f>"35614"</f>
        <v>35614</v>
      </c>
      <c r="C2313" s="1" t="str">
        <f>"ARDSLEY ON HUDSON"</f>
        <v>ARDSLEY ON HUDSON</v>
      </c>
      <c r="D2313" s="1" t="str">
        <f>"NY"</f>
        <v>NY</v>
      </c>
      <c r="E2313" s="2">
        <v>1</v>
      </c>
      <c r="F2313" s="2">
        <v>1</v>
      </c>
      <c r="G2313" s="2">
        <v>1</v>
      </c>
      <c r="H2313" s="2">
        <v>1</v>
      </c>
    </row>
    <row r="2314" spans="1:8" x14ac:dyDescent="0.25">
      <c r="A2314" s="1" t="str">
        <f>"20645"</f>
        <v>20645</v>
      </c>
      <c r="B2314" s="1" t="str">
        <f>"47894"</f>
        <v>47894</v>
      </c>
      <c r="C2314" s="1" t="str">
        <f>"ISSUE"</f>
        <v>ISSUE</v>
      </c>
      <c r="D2314" s="1" t="str">
        <f>"MD"</f>
        <v>MD</v>
      </c>
      <c r="E2314" s="2">
        <v>1</v>
      </c>
      <c r="F2314" s="2">
        <v>1</v>
      </c>
      <c r="G2314" s="2">
        <v>1</v>
      </c>
      <c r="H2314" s="2">
        <v>1</v>
      </c>
    </row>
    <row r="2315" spans="1:8" x14ac:dyDescent="0.25">
      <c r="A2315" s="1" t="str">
        <f>"20725"</f>
        <v>20725</v>
      </c>
      <c r="B2315" s="1" t="str">
        <f>"47894"</f>
        <v>47894</v>
      </c>
      <c r="C2315" s="1" t="str">
        <f>"LAUREL"</f>
        <v>LAUREL</v>
      </c>
      <c r="D2315" s="1" t="str">
        <f>"MD"</f>
        <v>MD</v>
      </c>
      <c r="E2315" s="2">
        <v>1</v>
      </c>
      <c r="F2315" s="2">
        <v>1</v>
      </c>
      <c r="G2315" s="2">
        <v>1</v>
      </c>
      <c r="H2315" s="2">
        <v>1</v>
      </c>
    </row>
    <row r="2316" spans="1:8" x14ac:dyDescent="0.25">
      <c r="A2316" s="1" t="str">
        <f>"33124"</f>
        <v>33124</v>
      </c>
      <c r="B2316" s="1" t="str">
        <f>"33124"</f>
        <v>33124</v>
      </c>
      <c r="C2316" s="1" t="str">
        <f>"MIAMI"</f>
        <v>MIAMI</v>
      </c>
      <c r="D2316" s="1" t="str">
        <f>"FL"</f>
        <v>FL</v>
      </c>
      <c r="E2316" s="2">
        <v>1</v>
      </c>
      <c r="F2316" s="2">
        <v>1</v>
      </c>
      <c r="G2316" s="2">
        <v>1</v>
      </c>
      <c r="H2316" s="2">
        <v>1</v>
      </c>
    </row>
    <row r="2317" spans="1:8" x14ac:dyDescent="0.25">
      <c r="A2317" s="1" t="str">
        <f>"47964"</f>
        <v>47964</v>
      </c>
      <c r="B2317" s="1" t="str">
        <f>"23844"</f>
        <v>23844</v>
      </c>
      <c r="C2317" s="1" t="str">
        <f>"MOUNT AYR"</f>
        <v>MOUNT AYR</v>
      </c>
      <c r="D2317" s="1" t="str">
        <f>"IN"</f>
        <v>IN</v>
      </c>
      <c r="E2317" s="2">
        <v>1</v>
      </c>
      <c r="F2317" s="2">
        <v>0</v>
      </c>
      <c r="G2317" s="2">
        <v>1</v>
      </c>
      <c r="H2317" s="2">
        <v>1</v>
      </c>
    </row>
    <row r="2318" spans="1:8" x14ac:dyDescent="0.25">
      <c r="A2318" s="1" t="str">
        <f>"48892"</f>
        <v>48892</v>
      </c>
      <c r="B2318" s="1" t="str">
        <f>"47664"</f>
        <v>47664</v>
      </c>
      <c r="C2318" s="1" t="str">
        <f>"WEBBERVILLE"</f>
        <v>WEBBERVILLE</v>
      </c>
      <c r="D2318" s="1" t="str">
        <f>"MI"</f>
        <v>MI</v>
      </c>
      <c r="E2318" s="2">
        <v>1</v>
      </c>
      <c r="F2318" s="2">
        <v>1</v>
      </c>
      <c r="G2318" s="2">
        <v>0</v>
      </c>
      <c r="H2318" s="2">
        <v>1</v>
      </c>
    </row>
    <row r="2319" spans="1:8" x14ac:dyDescent="0.25">
      <c r="A2319" s="1" t="str">
        <f>"75221"</f>
        <v>75221</v>
      </c>
      <c r="B2319" s="1" t="str">
        <f>"19124"</f>
        <v>19124</v>
      </c>
      <c r="C2319" s="1" t="str">
        <f>"DALLAS"</f>
        <v>DALLAS</v>
      </c>
      <c r="D2319" s="1" t="str">
        <f>"TX"</f>
        <v>TX</v>
      </c>
      <c r="E2319" s="2">
        <v>1</v>
      </c>
      <c r="F2319" s="2">
        <v>1</v>
      </c>
      <c r="G2319" s="2">
        <v>1</v>
      </c>
      <c r="H2319" s="2">
        <v>1</v>
      </c>
    </row>
    <row r="2320" spans="1:8" x14ac:dyDescent="0.25">
      <c r="A2320" s="1" t="str">
        <f>"91023"</f>
        <v>91023</v>
      </c>
      <c r="B2320" s="1" t="str">
        <f>"31084"</f>
        <v>31084</v>
      </c>
      <c r="C2320" s="1" t="str">
        <f>"MOUNT WILSON"</f>
        <v>MOUNT WILSON</v>
      </c>
      <c r="D2320" s="1" t="str">
        <f>"CA"</f>
        <v>CA</v>
      </c>
      <c r="E2320" s="2">
        <v>1</v>
      </c>
      <c r="F2320" s="2">
        <v>0</v>
      </c>
      <c r="G2320" s="2">
        <v>1</v>
      </c>
      <c r="H2320" s="2">
        <v>1</v>
      </c>
    </row>
    <row r="2321" spans="1:8" x14ac:dyDescent="0.25">
      <c r="A2321" s="1" t="str">
        <f>"07021"</f>
        <v>07021</v>
      </c>
      <c r="B2321" s="1" t="str">
        <f>"35084"</f>
        <v>35084</v>
      </c>
      <c r="C2321" s="1" t="str">
        <f>"ESSEX FELLS"</f>
        <v>ESSEX FELLS</v>
      </c>
      <c r="D2321" s="1" t="str">
        <f>"NJ"</f>
        <v>NJ</v>
      </c>
      <c r="E2321" s="2">
        <v>1</v>
      </c>
      <c r="F2321" s="2">
        <v>1</v>
      </c>
      <c r="G2321" s="2">
        <v>1</v>
      </c>
      <c r="H2321" s="2">
        <v>1</v>
      </c>
    </row>
    <row r="2322" spans="1:8" x14ac:dyDescent="0.25">
      <c r="A2322" s="1" t="str">
        <f>"11956"</f>
        <v>11956</v>
      </c>
      <c r="B2322" s="1" t="str">
        <f>"35004"</f>
        <v>35004</v>
      </c>
      <c r="C2322" s="1" t="str">
        <f>"NEW SUFFOLK"</f>
        <v>NEW SUFFOLK</v>
      </c>
      <c r="D2322" s="1" t="str">
        <f>"NY"</f>
        <v>NY</v>
      </c>
      <c r="E2322" s="2">
        <v>1</v>
      </c>
      <c r="F2322" s="2">
        <v>0</v>
      </c>
      <c r="G2322" s="2">
        <v>1</v>
      </c>
      <c r="H2322" s="2">
        <v>1</v>
      </c>
    </row>
    <row r="2323" spans="1:8" x14ac:dyDescent="0.25">
      <c r="A2323" s="1" t="str">
        <f>"20849"</f>
        <v>20849</v>
      </c>
      <c r="B2323" s="1" t="str">
        <f>"23224"</f>
        <v>23224</v>
      </c>
      <c r="C2323" s="1" t="str">
        <f>"ROCKVILLE"</f>
        <v>ROCKVILLE</v>
      </c>
      <c r="D2323" s="1" t="str">
        <f>"MD"</f>
        <v>MD</v>
      </c>
      <c r="E2323" s="2">
        <v>1</v>
      </c>
      <c r="F2323" s="2">
        <v>1</v>
      </c>
      <c r="G2323" s="2">
        <v>1</v>
      </c>
      <c r="H2323" s="2">
        <v>1</v>
      </c>
    </row>
    <row r="2324" spans="1:8" x14ac:dyDescent="0.25">
      <c r="A2324" s="1" t="str">
        <f>"60539"</f>
        <v>60539</v>
      </c>
      <c r="B2324" s="1" t="str">
        <f>"20994"</f>
        <v>20994</v>
      </c>
      <c r="C2324" s="1" t="str">
        <f>"MOOSEHEART"</f>
        <v>MOOSEHEART</v>
      </c>
      <c r="D2324" s="1" t="str">
        <f>"IL"</f>
        <v>IL</v>
      </c>
      <c r="E2324" s="2">
        <v>1</v>
      </c>
      <c r="F2324" s="2">
        <v>1</v>
      </c>
      <c r="G2324" s="2">
        <v>1</v>
      </c>
      <c r="H2324" s="2">
        <v>1</v>
      </c>
    </row>
    <row r="2325" spans="1:8" x14ac:dyDescent="0.25">
      <c r="A2325" s="1" t="str">
        <f>"95391"</f>
        <v>95391</v>
      </c>
      <c r="B2325" s="1" t="str">
        <f>"36084"</f>
        <v>36084</v>
      </c>
      <c r="C2325" s="1" t="str">
        <f>"TRACY"</f>
        <v>TRACY</v>
      </c>
      <c r="D2325" s="1" t="str">
        <f>"CA"</f>
        <v>CA</v>
      </c>
      <c r="E2325" s="2">
        <v>1</v>
      </c>
      <c r="F2325" s="2">
        <v>1</v>
      </c>
      <c r="G2325" s="2">
        <v>1</v>
      </c>
      <c r="H2325" s="2">
        <v>1</v>
      </c>
    </row>
    <row r="2326" spans="1:8" x14ac:dyDescent="0.25">
      <c r="A2326" s="1" t="str">
        <f>"94074"</f>
        <v>94074</v>
      </c>
      <c r="B2326" s="1" t="str">
        <f>"41884"</f>
        <v>41884</v>
      </c>
      <c r="C2326" s="1" t="str">
        <f>"SAN GREGORIO"</f>
        <v>SAN GREGORIO</v>
      </c>
      <c r="D2326" s="1" t="str">
        <f>"CA"</f>
        <v>CA</v>
      </c>
      <c r="E2326" s="2">
        <v>1</v>
      </c>
      <c r="F2326" s="2">
        <v>1</v>
      </c>
      <c r="G2326" s="2">
        <v>1</v>
      </c>
      <c r="H2326" s="2">
        <v>1</v>
      </c>
    </row>
    <row r="2327" spans="1:8" x14ac:dyDescent="0.25">
      <c r="A2327" s="1" t="str">
        <f>"92857"</f>
        <v>92857</v>
      </c>
      <c r="B2327" s="1" t="str">
        <f>"11244"</f>
        <v>11244</v>
      </c>
      <c r="C2327" s="1" t="str">
        <f>"ORANGE"</f>
        <v>ORANGE</v>
      </c>
      <c r="D2327" s="1" t="str">
        <f>"CA"</f>
        <v>CA</v>
      </c>
      <c r="E2327" s="2">
        <v>1</v>
      </c>
      <c r="F2327" s="2">
        <v>1</v>
      </c>
      <c r="G2327" s="2">
        <v>1</v>
      </c>
      <c r="H2327" s="2">
        <v>1</v>
      </c>
    </row>
    <row r="2328" spans="1:8" x14ac:dyDescent="0.25">
      <c r="A2328" s="1" t="str">
        <f>"18302"</f>
        <v>18302</v>
      </c>
      <c r="B2328" s="1" t="str">
        <f>"35084"</f>
        <v>35084</v>
      </c>
      <c r="C2328" s="1" t="str">
        <f>"EAST STROUDSBURG"</f>
        <v>EAST STROUDSBURG</v>
      </c>
      <c r="D2328" s="1" t="str">
        <f>"PA"</f>
        <v>PA</v>
      </c>
      <c r="E2328" s="2">
        <v>1</v>
      </c>
      <c r="F2328" s="2">
        <v>1</v>
      </c>
      <c r="G2328" s="2">
        <v>1</v>
      </c>
      <c r="H2328" s="2">
        <v>1</v>
      </c>
    </row>
    <row r="2329" spans="1:8" x14ac:dyDescent="0.25">
      <c r="A2329" s="1" t="str">
        <f>"60186"</f>
        <v>60186</v>
      </c>
      <c r="B2329" s="1" t="str">
        <f>"16984"</f>
        <v>16984</v>
      </c>
      <c r="C2329" s="1" t="str">
        <f>"WEST CHICAGO"</f>
        <v>WEST CHICAGO</v>
      </c>
      <c r="D2329" s="1" t="str">
        <f>"IL"</f>
        <v>IL</v>
      </c>
      <c r="E2329" s="2">
        <v>1</v>
      </c>
      <c r="F2329" s="2">
        <v>1</v>
      </c>
      <c r="G2329" s="2">
        <v>1</v>
      </c>
      <c r="H2329" s="2">
        <v>1</v>
      </c>
    </row>
    <row r="2330" spans="1:8" x14ac:dyDescent="0.25">
      <c r="A2330" s="1" t="str">
        <f>"01971"</f>
        <v>01971</v>
      </c>
      <c r="B2330" s="1" t="str">
        <f>"15764"</f>
        <v>15764</v>
      </c>
      <c r="C2330" s="1" t="str">
        <f>"SALEM"</f>
        <v>SALEM</v>
      </c>
      <c r="D2330" s="1" t="str">
        <f>"MA"</f>
        <v>MA</v>
      </c>
      <c r="E2330" s="2">
        <v>1</v>
      </c>
      <c r="F2330" s="2">
        <v>1</v>
      </c>
      <c r="G2330" s="2">
        <v>1</v>
      </c>
      <c r="H2330" s="2">
        <v>1</v>
      </c>
    </row>
    <row r="2331" spans="1:8" x14ac:dyDescent="0.25">
      <c r="A2331" s="1" t="str">
        <f>"20066"</f>
        <v>20066</v>
      </c>
      <c r="B2331" s="1" t="str">
        <f>"47894"</f>
        <v>47894</v>
      </c>
      <c r="C2331" s="1" t="str">
        <f>"WASHINGTON"</f>
        <v>WASHINGTON</v>
      </c>
      <c r="D2331" s="1" t="str">
        <f>"DC"</f>
        <v>DC</v>
      </c>
      <c r="E2331" s="2">
        <v>0</v>
      </c>
      <c r="F2331" s="2">
        <v>1</v>
      </c>
      <c r="G2331" s="2">
        <v>1</v>
      </c>
      <c r="H2331" s="2">
        <v>1</v>
      </c>
    </row>
    <row r="2332" spans="1:8" x14ac:dyDescent="0.25">
      <c r="A2332" s="1" t="str">
        <f>"11770"</f>
        <v>11770</v>
      </c>
      <c r="B2332" s="1" t="str">
        <f>"35004"</f>
        <v>35004</v>
      </c>
      <c r="C2332" s="1" t="str">
        <f>"OCEAN BEACH"</f>
        <v>OCEAN BEACH</v>
      </c>
      <c r="D2332" s="1" t="str">
        <f>"NY"</f>
        <v>NY</v>
      </c>
      <c r="E2332" s="2">
        <v>1</v>
      </c>
      <c r="F2332" s="2">
        <v>1</v>
      </c>
      <c r="G2332" s="2">
        <v>1</v>
      </c>
      <c r="H2332" s="2">
        <v>1</v>
      </c>
    </row>
    <row r="2333" spans="1:8" x14ac:dyDescent="0.25">
      <c r="A2333" s="1" t="str">
        <f>"22948"</f>
        <v>22948</v>
      </c>
      <c r="B2333" s="1" t="str">
        <f>"47894"</f>
        <v>47894</v>
      </c>
      <c r="C2333" s="1" t="str">
        <f>"LOCUST DALE"</f>
        <v>LOCUST DALE</v>
      </c>
      <c r="D2333" s="1" t="str">
        <f>"VA"</f>
        <v>VA</v>
      </c>
      <c r="E2333" s="2">
        <v>1</v>
      </c>
      <c r="F2333" s="2">
        <v>1</v>
      </c>
      <c r="G2333" s="2">
        <v>1</v>
      </c>
      <c r="H2333" s="2">
        <v>1</v>
      </c>
    </row>
    <row r="2334" spans="1:8" x14ac:dyDescent="0.25">
      <c r="A2334" s="1" t="str">
        <f>"10175"</f>
        <v>10175</v>
      </c>
      <c r="B2334" s="1" t="str">
        <f>"35614"</f>
        <v>35614</v>
      </c>
      <c r="C2334" s="1" t="str">
        <f>"NEW YORK"</f>
        <v>NEW YORK</v>
      </c>
      <c r="D2334" s="1" t="str">
        <f>"NY"</f>
        <v>NY</v>
      </c>
      <c r="E2334" s="2">
        <v>0</v>
      </c>
      <c r="F2334" s="2">
        <v>1</v>
      </c>
      <c r="G2334" s="2">
        <v>1</v>
      </c>
      <c r="H2334" s="2">
        <v>1</v>
      </c>
    </row>
    <row r="2335" spans="1:8" x14ac:dyDescent="0.25">
      <c r="A2335" s="1" t="str">
        <f>"20435"</f>
        <v>20435</v>
      </c>
      <c r="B2335" s="1" t="str">
        <f>"47894"</f>
        <v>47894</v>
      </c>
      <c r="C2335" s="1" t="str">
        <f>"WASHINGTON"</f>
        <v>WASHINGTON</v>
      </c>
      <c r="D2335" s="1" t="str">
        <f>"DC"</f>
        <v>DC</v>
      </c>
      <c r="E2335" s="2">
        <v>0</v>
      </c>
      <c r="F2335" s="2">
        <v>1</v>
      </c>
      <c r="G2335" s="2">
        <v>0</v>
      </c>
      <c r="H2335" s="2">
        <v>1</v>
      </c>
    </row>
    <row r="2336" spans="1:8" x14ac:dyDescent="0.25">
      <c r="A2336" s="1" t="str">
        <f>"19109"</f>
        <v>19109</v>
      </c>
      <c r="B2336" s="1" t="str">
        <f>"37964"</f>
        <v>37964</v>
      </c>
      <c r="C2336" s="1" t="str">
        <f>"PHILADELPHIA"</f>
        <v>PHILADELPHIA</v>
      </c>
      <c r="D2336" s="1" t="str">
        <f>"PA"</f>
        <v>PA</v>
      </c>
      <c r="E2336" s="2">
        <v>1</v>
      </c>
      <c r="F2336" s="2">
        <v>1</v>
      </c>
      <c r="G2336" s="2">
        <v>1</v>
      </c>
      <c r="H2336" s="2">
        <v>1</v>
      </c>
    </row>
    <row r="2337" spans="1:8" x14ac:dyDescent="0.25">
      <c r="A2337" s="1" t="str">
        <f>"18405"</f>
        <v>18405</v>
      </c>
      <c r="B2337" s="1" t="str">
        <f>"35084"</f>
        <v>35084</v>
      </c>
      <c r="C2337" s="1" t="str">
        <f>"BEACH LAKE"</f>
        <v>BEACH LAKE</v>
      </c>
      <c r="D2337" s="1" t="str">
        <f>"PA"</f>
        <v>PA</v>
      </c>
      <c r="E2337" s="2">
        <v>1</v>
      </c>
      <c r="F2337" s="2">
        <v>1</v>
      </c>
      <c r="G2337" s="2">
        <v>1</v>
      </c>
      <c r="H2337" s="2">
        <v>1</v>
      </c>
    </row>
    <row r="2338" spans="1:8" x14ac:dyDescent="0.25">
      <c r="A2338" s="1" t="str">
        <f>"91395"</f>
        <v>91395</v>
      </c>
      <c r="B2338" s="1" t="str">
        <f>"31084"</f>
        <v>31084</v>
      </c>
      <c r="C2338" s="1" t="str">
        <f>"MISSION HILLS"</f>
        <v>MISSION HILLS</v>
      </c>
      <c r="D2338" s="1" t="str">
        <f>"CA"</f>
        <v>CA</v>
      </c>
      <c r="E2338" s="2">
        <v>1</v>
      </c>
      <c r="F2338" s="2">
        <v>1</v>
      </c>
      <c r="G2338" s="2">
        <v>1</v>
      </c>
      <c r="H2338" s="2">
        <v>1</v>
      </c>
    </row>
    <row r="2339" spans="1:8" x14ac:dyDescent="0.25">
      <c r="A2339" s="1" t="str">
        <f>"90507"</f>
        <v>90507</v>
      </c>
      <c r="B2339" s="1" t="str">
        <f>"31084"</f>
        <v>31084</v>
      </c>
      <c r="C2339" s="1" t="str">
        <f>"TORRANCE"</f>
        <v>TORRANCE</v>
      </c>
      <c r="D2339" s="1" t="str">
        <f>"CA"</f>
        <v>CA</v>
      </c>
      <c r="E2339" s="2">
        <v>1</v>
      </c>
      <c r="F2339" s="2">
        <v>1</v>
      </c>
      <c r="G2339" s="2">
        <v>1</v>
      </c>
      <c r="H2339" s="2">
        <v>1</v>
      </c>
    </row>
    <row r="2340" spans="1:8" x14ac:dyDescent="0.25">
      <c r="A2340" s="1" t="str">
        <f>"60682"</f>
        <v>60682</v>
      </c>
      <c r="B2340" s="1" t="str">
        <f>"16984"</f>
        <v>16984</v>
      </c>
      <c r="C2340" s="1" t="str">
        <f>"CHICAGO"</f>
        <v>CHICAGO</v>
      </c>
      <c r="D2340" s="1" t="str">
        <f>"IL"</f>
        <v>IL</v>
      </c>
      <c r="E2340" s="2">
        <v>0</v>
      </c>
      <c r="F2340" s="2">
        <v>1</v>
      </c>
      <c r="G2340" s="2">
        <v>1</v>
      </c>
      <c r="H2340" s="2">
        <v>1</v>
      </c>
    </row>
    <row r="2341" spans="1:8" x14ac:dyDescent="0.25">
      <c r="A2341" s="1" t="str">
        <f>"48872"</f>
        <v>48872</v>
      </c>
      <c r="B2341" s="1" t="str">
        <f>"47664"</f>
        <v>47664</v>
      </c>
      <c r="C2341" s="1" t="str">
        <f>"PERRY"</f>
        <v>PERRY</v>
      </c>
      <c r="D2341" s="1" t="str">
        <f>"MI"</f>
        <v>MI</v>
      </c>
      <c r="E2341" s="2">
        <v>1</v>
      </c>
      <c r="F2341" s="2">
        <v>0</v>
      </c>
      <c r="G2341" s="2">
        <v>0</v>
      </c>
      <c r="H2341" s="2">
        <v>1</v>
      </c>
    </row>
    <row r="2342" spans="1:8" x14ac:dyDescent="0.25">
      <c r="A2342" s="1" t="str">
        <f>"91756"</f>
        <v>91756</v>
      </c>
      <c r="B2342" s="1" t="str">
        <f>"31084"</f>
        <v>31084</v>
      </c>
      <c r="C2342" s="1" t="str">
        <f>"MONTEREY PARK"</f>
        <v>MONTEREY PARK</v>
      </c>
      <c r="D2342" s="1" t="str">
        <f>"CA"</f>
        <v>CA</v>
      </c>
      <c r="E2342" s="2">
        <v>0</v>
      </c>
      <c r="F2342" s="2">
        <v>1</v>
      </c>
      <c r="G2342" s="2">
        <v>0</v>
      </c>
      <c r="H2342" s="2">
        <v>1</v>
      </c>
    </row>
    <row r="2343" spans="1:8" x14ac:dyDescent="0.25">
      <c r="A2343" s="1" t="str">
        <f>"10911"</f>
        <v>10911</v>
      </c>
      <c r="B2343" s="1" t="str">
        <f>"35614"</f>
        <v>35614</v>
      </c>
      <c r="C2343" s="1" t="str">
        <f>"BEAR MOUNTAIN"</f>
        <v>BEAR MOUNTAIN</v>
      </c>
      <c r="D2343" s="1" t="str">
        <f>"NY"</f>
        <v>NY</v>
      </c>
      <c r="E2343" s="2">
        <v>1</v>
      </c>
      <c r="F2343" s="2">
        <v>1</v>
      </c>
      <c r="G2343" s="2">
        <v>1</v>
      </c>
      <c r="H2343" s="2">
        <v>1</v>
      </c>
    </row>
    <row r="2344" spans="1:8" x14ac:dyDescent="0.25">
      <c r="A2344" s="1" t="str">
        <f>"19052"</f>
        <v>19052</v>
      </c>
      <c r="B2344" s="1" t="str">
        <f>"37964"</f>
        <v>37964</v>
      </c>
      <c r="C2344" s="1" t="str">
        <f>"LENNI"</f>
        <v>LENNI</v>
      </c>
      <c r="D2344" s="1" t="str">
        <f>"PA"</f>
        <v>PA</v>
      </c>
      <c r="E2344" s="2">
        <v>1</v>
      </c>
      <c r="F2344" s="2">
        <v>1</v>
      </c>
      <c r="G2344" s="2">
        <v>1</v>
      </c>
      <c r="H2344" s="2">
        <v>1</v>
      </c>
    </row>
    <row r="2345" spans="1:8" x14ac:dyDescent="0.25">
      <c r="A2345" s="1" t="str">
        <f>"53159"</f>
        <v>53159</v>
      </c>
      <c r="B2345" s="1" t="str">
        <f>"29404"</f>
        <v>29404</v>
      </c>
      <c r="C2345" s="1" t="str">
        <f>"POWERS LAKE"</f>
        <v>POWERS LAKE</v>
      </c>
      <c r="D2345" s="1" t="str">
        <f>"WI"</f>
        <v>WI</v>
      </c>
      <c r="E2345" s="2">
        <v>0</v>
      </c>
      <c r="F2345" s="2">
        <v>0</v>
      </c>
      <c r="G2345" s="2">
        <v>1</v>
      </c>
      <c r="H2345" s="2">
        <v>1</v>
      </c>
    </row>
    <row r="2346" spans="1:8" x14ac:dyDescent="0.25">
      <c r="A2346" s="1" t="str">
        <f>"02217"</f>
        <v>02217</v>
      </c>
      <c r="B2346" s="1" t="str">
        <f>"14454"</f>
        <v>14454</v>
      </c>
      <c r="C2346" s="1" t="str">
        <f>"BOSTON"</f>
        <v>BOSTON</v>
      </c>
      <c r="D2346" s="1" t="str">
        <f>"MA"</f>
        <v>MA</v>
      </c>
      <c r="E2346" s="2">
        <v>0</v>
      </c>
      <c r="F2346" s="2">
        <v>1</v>
      </c>
      <c r="G2346" s="2">
        <v>1</v>
      </c>
      <c r="H2346" s="2">
        <v>1</v>
      </c>
    </row>
    <row r="2347" spans="1:8" x14ac:dyDescent="0.25">
      <c r="A2347" s="1" t="str">
        <f>"22217"</f>
        <v>22217</v>
      </c>
      <c r="B2347" s="1" t="str">
        <f>"47894"</f>
        <v>47894</v>
      </c>
      <c r="C2347" s="1" t="str">
        <f>"ARLINGTON"</f>
        <v>ARLINGTON</v>
      </c>
      <c r="D2347" s="1" t="str">
        <f>"VA"</f>
        <v>VA</v>
      </c>
      <c r="E2347" s="2">
        <v>0</v>
      </c>
      <c r="F2347" s="2">
        <v>1</v>
      </c>
      <c r="G2347" s="2">
        <v>0</v>
      </c>
      <c r="H2347" s="2">
        <v>1</v>
      </c>
    </row>
    <row r="2348" spans="1:8" x14ac:dyDescent="0.25">
      <c r="A2348" s="1" t="str">
        <f>"20811"</f>
        <v>20811</v>
      </c>
      <c r="B2348" s="1" t="str">
        <f>"23224"</f>
        <v>23224</v>
      </c>
      <c r="C2348" s="1" t="str">
        <f>"BETHESDA"</f>
        <v>BETHESDA</v>
      </c>
      <c r="D2348" s="1" t="str">
        <f>"MD"</f>
        <v>MD</v>
      </c>
      <c r="E2348" s="2">
        <v>0</v>
      </c>
      <c r="F2348" s="2">
        <v>1</v>
      </c>
      <c r="G2348" s="2">
        <v>0</v>
      </c>
      <c r="H2348" s="2">
        <v>1</v>
      </c>
    </row>
    <row r="2349" spans="1:8" x14ac:dyDescent="0.25">
      <c r="A2349" s="1" t="str">
        <f>"20375"</f>
        <v>20375</v>
      </c>
      <c r="B2349" s="1" t="str">
        <f>"47894"</f>
        <v>47894</v>
      </c>
      <c r="C2349" s="1" t="str">
        <f>"WASHINGTON"</f>
        <v>WASHINGTON</v>
      </c>
      <c r="D2349" s="1" t="str">
        <f>"DC"</f>
        <v>DC</v>
      </c>
      <c r="E2349" s="2">
        <v>0</v>
      </c>
      <c r="F2349" s="2">
        <v>1</v>
      </c>
      <c r="G2349" s="2">
        <v>0</v>
      </c>
      <c r="H2349" s="2">
        <v>1</v>
      </c>
    </row>
    <row r="2350" spans="1:8" x14ac:dyDescent="0.25">
      <c r="A2350" s="1" t="str">
        <f>"22214"</f>
        <v>22214</v>
      </c>
      <c r="B2350" s="1" t="str">
        <f>"47894"</f>
        <v>47894</v>
      </c>
      <c r="C2350" s="1" t="str">
        <f>"ARLINGTON"</f>
        <v>ARLINGTON</v>
      </c>
      <c r="D2350" s="1" t="str">
        <f>"VA"</f>
        <v>VA</v>
      </c>
      <c r="E2350" s="2">
        <v>1</v>
      </c>
      <c r="F2350" s="2">
        <v>1</v>
      </c>
      <c r="G2350" s="2">
        <v>0</v>
      </c>
      <c r="H2350" s="2">
        <v>1</v>
      </c>
    </row>
    <row r="2351" spans="1:8" x14ac:dyDescent="0.25">
      <c r="A2351" s="1" t="str">
        <f>"20554"</f>
        <v>20554</v>
      </c>
      <c r="B2351" s="1" t="str">
        <f>"47894"</f>
        <v>47894</v>
      </c>
      <c r="C2351" s="1" t="str">
        <f>"WASHINGTON"</f>
        <v>WASHINGTON</v>
      </c>
      <c r="D2351" s="1" t="str">
        <f>"DC"</f>
        <v>DC</v>
      </c>
      <c r="E2351" s="2">
        <v>0</v>
      </c>
      <c r="F2351" s="2">
        <v>1</v>
      </c>
      <c r="G2351" s="2">
        <v>0</v>
      </c>
      <c r="H2351" s="2">
        <v>1</v>
      </c>
    </row>
    <row r="2352" spans="1:8" x14ac:dyDescent="0.25">
      <c r="A2352" s="1" t="str">
        <f>"10130"</f>
        <v>10130</v>
      </c>
      <c r="B2352" s="1" t="str">
        <f>"35614"</f>
        <v>35614</v>
      </c>
      <c r="C2352" s="1" t="str">
        <f>"NEW YORK"</f>
        <v>NEW YORK</v>
      </c>
      <c r="D2352" s="1" t="str">
        <f>"NY"</f>
        <v>NY</v>
      </c>
      <c r="E2352" s="2">
        <v>0</v>
      </c>
      <c r="F2352" s="2">
        <v>0</v>
      </c>
      <c r="G2352" s="2">
        <v>1</v>
      </c>
      <c r="H2352" s="2">
        <v>1</v>
      </c>
    </row>
    <row r="2353" spans="1:8" x14ac:dyDescent="0.25">
      <c r="A2353" s="1" t="str">
        <f>"01504"</f>
        <v>01504</v>
      </c>
      <c r="B2353" s="1" t="str">
        <f>"14454"</f>
        <v>14454</v>
      </c>
      <c r="C2353" s="1" t="str">
        <f>"BLACKSTONE"</f>
        <v>BLACKSTONE</v>
      </c>
      <c r="D2353" s="1" t="str">
        <f>"MA"</f>
        <v>MA</v>
      </c>
      <c r="E2353" s="2">
        <v>1</v>
      </c>
      <c r="F2353" s="2">
        <v>0</v>
      </c>
      <c r="G2353" s="2">
        <v>0</v>
      </c>
      <c r="H2353" s="2">
        <v>1</v>
      </c>
    </row>
    <row r="2354" spans="1:8" x14ac:dyDescent="0.25">
      <c r="A2354" s="1" t="str">
        <f>"02358"</f>
        <v>02358</v>
      </c>
      <c r="B2354" s="1" t="str">
        <f>"14454"</f>
        <v>14454</v>
      </c>
      <c r="C2354" s="1" t="str">
        <f>"NORTH PEMBROKE"</f>
        <v>NORTH PEMBROKE</v>
      </c>
      <c r="D2354" s="1" t="str">
        <f>"MA"</f>
        <v>MA</v>
      </c>
      <c r="E2354" s="2">
        <v>0</v>
      </c>
      <c r="F2354" s="2">
        <v>0</v>
      </c>
      <c r="G2354" s="2">
        <v>1</v>
      </c>
      <c r="H2354" s="2">
        <v>1</v>
      </c>
    </row>
    <row r="2355" spans="1:8" x14ac:dyDescent="0.25">
      <c r="A2355" s="1" t="str">
        <f>"02344"</f>
        <v>02344</v>
      </c>
      <c r="B2355" s="1" t="str">
        <f>"14454"</f>
        <v>14454</v>
      </c>
      <c r="C2355" s="1" t="str">
        <f>"MIDDLEBORO"</f>
        <v>MIDDLEBORO</v>
      </c>
      <c r="D2355" s="1" t="str">
        <f>"MA"</f>
        <v>MA</v>
      </c>
      <c r="E2355" s="2">
        <v>0</v>
      </c>
      <c r="F2355" s="2">
        <v>1</v>
      </c>
      <c r="G2355" s="2">
        <v>0</v>
      </c>
      <c r="H2355" s="2">
        <v>1</v>
      </c>
    </row>
    <row r="2356" spans="1:8" x14ac:dyDescent="0.25">
      <c r="A2356" s="1" t="str">
        <f>"20894"</f>
        <v>20894</v>
      </c>
      <c r="B2356" s="1" t="str">
        <f>"23224"</f>
        <v>23224</v>
      </c>
      <c r="C2356" s="1" t="str">
        <f>"BETHESDA"</f>
        <v>BETHESDA</v>
      </c>
      <c r="D2356" s="1" t="str">
        <f>"MD"</f>
        <v>MD</v>
      </c>
      <c r="E2356" s="2">
        <v>0</v>
      </c>
      <c r="F2356" s="2">
        <v>1</v>
      </c>
      <c r="G2356" s="2">
        <v>0</v>
      </c>
      <c r="H2356" s="2">
        <v>1</v>
      </c>
    </row>
    <row r="2357" spans="1:8" x14ac:dyDescent="0.25">
      <c r="A2357" s="1" t="str">
        <f>"01463"</f>
        <v>01463</v>
      </c>
      <c r="B2357" s="1" t="str">
        <f>"15764"</f>
        <v>15764</v>
      </c>
      <c r="C2357" s="1" t="str">
        <f>"PEPPERELL"</f>
        <v>PEPPERELL</v>
      </c>
      <c r="D2357" s="1" t="str">
        <f t="shared" ref="D2357:D2364" si="168">"MA"</f>
        <v>MA</v>
      </c>
      <c r="E2357" s="2">
        <v>1</v>
      </c>
      <c r="F2357" s="2">
        <v>1</v>
      </c>
      <c r="G2357" s="2">
        <v>1</v>
      </c>
      <c r="H2357" s="2">
        <v>1</v>
      </c>
    </row>
    <row r="2358" spans="1:8" x14ac:dyDescent="0.25">
      <c r="A2358" s="1" t="str">
        <f>"01749"</f>
        <v>01749</v>
      </c>
      <c r="B2358" s="1" t="str">
        <f>"15764"</f>
        <v>15764</v>
      </c>
      <c r="C2358" s="1" t="str">
        <f>"HUDSON"</f>
        <v>HUDSON</v>
      </c>
      <c r="D2358" s="1" t="str">
        <f t="shared" si="168"/>
        <v>MA</v>
      </c>
      <c r="E2358" s="2">
        <v>1</v>
      </c>
      <c r="F2358" s="2">
        <v>1</v>
      </c>
      <c r="G2358" s="2">
        <v>1</v>
      </c>
      <c r="H2358" s="2">
        <v>1</v>
      </c>
    </row>
    <row r="2359" spans="1:8" x14ac:dyDescent="0.25">
      <c r="A2359" s="1" t="str">
        <f>"01863"</f>
        <v>01863</v>
      </c>
      <c r="B2359" s="1" t="str">
        <f>"15764"</f>
        <v>15764</v>
      </c>
      <c r="C2359" s="1" t="str">
        <f>"NORTH CHELMSFORD"</f>
        <v>NORTH CHELMSFORD</v>
      </c>
      <c r="D2359" s="1" t="str">
        <f t="shared" si="168"/>
        <v>MA</v>
      </c>
      <c r="E2359" s="2">
        <v>1</v>
      </c>
      <c r="F2359" s="2">
        <v>1</v>
      </c>
      <c r="G2359" s="2">
        <v>1</v>
      </c>
      <c r="H2359" s="2">
        <v>1</v>
      </c>
    </row>
    <row r="2360" spans="1:8" x14ac:dyDescent="0.25">
      <c r="A2360" s="1" t="str">
        <f>"01938"</f>
        <v>01938</v>
      </c>
      <c r="B2360" s="1" t="str">
        <f>"15764"</f>
        <v>15764</v>
      </c>
      <c r="C2360" s="1" t="str">
        <f>"IPSWICH"</f>
        <v>IPSWICH</v>
      </c>
      <c r="D2360" s="1" t="str">
        <f t="shared" si="168"/>
        <v>MA</v>
      </c>
      <c r="E2360" s="2">
        <v>1</v>
      </c>
      <c r="F2360" s="2">
        <v>1</v>
      </c>
      <c r="G2360" s="2">
        <v>1</v>
      </c>
      <c r="H2360" s="2">
        <v>1</v>
      </c>
    </row>
    <row r="2361" spans="1:8" x14ac:dyDescent="0.25">
      <c r="A2361" s="1" t="str">
        <f>"01965"</f>
        <v>01965</v>
      </c>
      <c r="B2361" s="1" t="str">
        <f>"15764"</f>
        <v>15764</v>
      </c>
      <c r="C2361" s="1" t="str">
        <f>"PRIDES CROSSING"</f>
        <v>PRIDES CROSSING</v>
      </c>
      <c r="D2361" s="1" t="str">
        <f t="shared" si="168"/>
        <v>MA</v>
      </c>
      <c r="E2361" s="2">
        <v>1</v>
      </c>
      <c r="F2361" s="2">
        <v>1</v>
      </c>
      <c r="G2361" s="2">
        <v>1</v>
      </c>
      <c r="H2361" s="2">
        <v>1</v>
      </c>
    </row>
    <row r="2362" spans="1:8" x14ac:dyDescent="0.25">
      <c r="A2362" s="1" t="str">
        <f>"02108"</f>
        <v>02108</v>
      </c>
      <c r="B2362" s="1" t="str">
        <f>"14454"</f>
        <v>14454</v>
      </c>
      <c r="C2362" s="1" t="str">
        <f>"BOSTON"</f>
        <v>BOSTON</v>
      </c>
      <c r="D2362" s="1" t="str">
        <f t="shared" si="168"/>
        <v>MA</v>
      </c>
      <c r="E2362" s="2">
        <v>1</v>
      </c>
      <c r="F2362" s="2">
        <v>1</v>
      </c>
      <c r="G2362" s="2">
        <v>1</v>
      </c>
      <c r="H2362" s="2">
        <v>1</v>
      </c>
    </row>
    <row r="2363" spans="1:8" x14ac:dyDescent="0.25">
      <c r="A2363" s="1" t="str">
        <f>"02324"</f>
        <v>02324</v>
      </c>
      <c r="B2363" s="1" t="str">
        <f>"14454"</f>
        <v>14454</v>
      </c>
      <c r="C2363" s="1" t="str">
        <f>"BRIDGEWATER"</f>
        <v>BRIDGEWATER</v>
      </c>
      <c r="D2363" s="1" t="str">
        <f t="shared" si="168"/>
        <v>MA</v>
      </c>
      <c r="E2363" s="2">
        <v>1</v>
      </c>
      <c r="F2363" s="2">
        <v>1</v>
      </c>
      <c r="G2363" s="2">
        <v>1</v>
      </c>
      <c r="H2363" s="2">
        <v>1</v>
      </c>
    </row>
    <row r="2364" spans="1:8" x14ac:dyDescent="0.25">
      <c r="A2364" s="1" t="str">
        <f>"02379"</f>
        <v>02379</v>
      </c>
      <c r="B2364" s="1" t="str">
        <f>"14454"</f>
        <v>14454</v>
      </c>
      <c r="C2364" s="1" t="str">
        <f>"WEST BRIDGEWATER"</f>
        <v>WEST BRIDGEWATER</v>
      </c>
      <c r="D2364" s="1" t="str">
        <f t="shared" si="168"/>
        <v>MA</v>
      </c>
      <c r="E2364" s="2">
        <v>1</v>
      </c>
      <c r="F2364" s="2">
        <v>1</v>
      </c>
      <c r="G2364" s="2">
        <v>1</v>
      </c>
      <c r="H2364" s="2">
        <v>1</v>
      </c>
    </row>
    <row r="2365" spans="1:8" x14ac:dyDescent="0.25">
      <c r="A2365" s="1" t="str">
        <f>"07011"</f>
        <v>07011</v>
      </c>
      <c r="B2365" s="1" t="str">
        <f>"35614"</f>
        <v>35614</v>
      </c>
      <c r="C2365" s="1" t="str">
        <f>"CLIFTON"</f>
        <v>CLIFTON</v>
      </c>
      <c r="D2365" s="1" t="str">
        <f t="shared" ref="D2365:D2383" si="169">"NJ"</f>
        <v>NJ</v>
      </c>
      <c r="E2365" s="2">
        <v>1</v>
      </c>
      <c r="F2365" s="2">
        <v>1</v>
      </c>
      <c r="G2365" s="2">
        <v>1</v>
      </c>
      <c r="H2365" s="2">
        <v>1</v>
      </c>
    </row>
    <row r="2366" spans="1:8" x14ac:dyDescent="0.25">
      <c r="A2366" s="1" t="str">
        <f>"07081"</f>
        <v>07081</v>
      </c>
      <c r="B2366" s="1" t="str">
        <f>"35084"</f>
        <v>35084</v>
      </c>
      <c r="C2366" s="1" t="str">
        <f>"SPRINGFIELD"</f>
        <v>SPRINGFIELD</v>
      </c>
      <c r="D2366" s="1" t="str">
        <f t="shared" si="169"/>
        <v>NJ</v>
      </c>
      <c r="E2366" s="2">
        <v>1</v>
      </c>
      <c r="F2366" s="2">
        <v>1</v>
      </c>
      <c r="G2366" s="2">
        <v>1</v>
      </c>
      <c r="H2366" s="2">
        <v>1</v>
      </c>
    </row>
    <row r="2367" spans="1:8" x14ac:dyDescent="0.25">
      <c r="A2367" s="1" t="str">
        <f>"07058"</f>
        <v>07058</v>
      </c>
      <c r="B2367" s="1" t="str">
        <f>"35084"</f>
        <v>35084</v>
      </c>
      <c r="C2367" s="1" t="str">
        <f>"PINE BROOK"</f>
        <v>PINE BROOK</v>
      </c>
      <c r="D2367" s="1" t="str">
        <f t="shared" si="169"/>
        <v>NJ</v>
      </c>
      <c r="E2367" s="2">
        <v>1</v>
      </c>
      <c r="F2367" s="2">
        <v>1</v>
      </c>
      <c r="G2367" s="2">
        <v>1</v>
      </c>
      <c r="H2367" s="2">
        <v>1</v>
      </c>
    </row>
    <row r="2368" spans="1:8" x14ac:dyDescent="0.25">
      <c r="A2368" s="1" t="str">
        <f>"07111"</f>
        <v>07111</v>
      </c>
      <c r="B2368" s="1" t="str">
        <f>"35084"</f>
        <v>35084</v>
      </c>
      <c r="C2368" s="1" t="str">
        <f>"IRVINGTON"</f>
        <v>IRVINGTON</v>
      </c>
      <c r="D2368" s="1" t="str">
        <f t="shared" si="169"/>
        <v>NJ</v>
      </c>
      <c r="E2368" s="2">
        <v>1</v>
      </c>
      <c r="F2368" s="2">
        <v>1</v>
      </c>
      <c r="G2368" s="2">
        <v>1</v>
      </c>
      <c r="H2368" s="2">
        <v>1</v>
      </c>
    </row>
    <row r="2369" spans="1:8" x14ac:dyDescent="0.25">
      <c r="A2369" s="1" t="str">
        <f>"07208"</f>
        <v>07208</v>
      </c>
      <c r="B2369" s="1" t="str">
        <f>"35084"</f>
        <v>35084</v>
      </c>
      <c r="C2369" s="1" t="str">
        <f>"ELIZABETH"</f>
        <v>ELIZABETH</v>
      </c>
      <c r="D2369" s="1" t="str">
        <f t="shared" si="169"/>
        <v>NJ</v>
      </c>
      <c r="E2369" s="2">
        <v>1</v>
      </c>
      <c r="F2369" s="2">
        <v>1</v>
      </c>
      <c r="G2369" s="2">
        <v>1</v>
      </c>
      <c r="H2369" s="2">
        <v>1</v>
      </c>
    </row>
    <row r="2370" spans="1:8" x14ac:dyDescent="0.25">
      <c r="A2370" s="1" t="str">
        <f>"07444"</f>
        <v>07444</v>
      </c>
      <c r="B2370" s="1" t="str">
        <f>"35084"</f>
        <v>35084</v>
      </c>
      <c r="C2370" s="1" t="str">
        <f>"POMPTON PLAINS"</f>
        <v>POMPTON PLAINS</v>
      </c>
      <c r="D2370" s="1" t="str">
        <f t="shared" si="169"/>
        <v>NJ</v>
      </c>
      <c r="E2370" s="2">
        <v>1</v>
      </c>
      <c r="F2370" s="2">
        <v>1</v>
      </c>
      <c r="G2370" s="2">
        <v>1</v>
      </c>
      <c r="H2370" s="2">
        <v>1</v>
      </c>
    </row>
    <row r="2371" spans="1:8" x14ac:dyDescent="0.25">
      <c r="A2371" s="1" t="str">
        <f>"07675"</f>
        <v>07675</v>
      </c>
      <c r="B2371" s="1" t="str">
        <f>"35614"</f>
        <v>35614</v>
      </c>
      <c r="C2371" s="1" t="str">
        <f>"WESTWOOD"</f>
        <v>WESTWOOD</v>
      </c>
      <c r="D2371" s="1" t="str">
        <f t="shared" si="169"/>
        <v>NJ</v>
      </c>
      <c r="E2371" s="2">
        <v>1</v>
      </c>
      <c r="F2371" s="2">
        <v>1</v>
      </c>
      <c r="G2371" s="2">
        <v>1</v>
      </c>
      <c r="H2371" s="2">
        <v>1</v>
      </c>
    </row>
    <row r="2372" spans="1:8" x14ac:dyDescent="0.25">
      <c r="A2372" s="1" t="str">
        <f>"07712"</f>
        <v>07712</v>
      </c>
      <c r="B2372" s="1" t="str">
        <f>"35154"</f>
        <v>35154</v>
      </c>
      <c r="C2372" s="1" t="str">
        <f>"ASBURY PARK"</f>
        <v>ASBURY PARK</v>
      </c>
      <c r="D2372" s="1" t="str">
        <f t="shared" si="169"/>
        <v>NJ</v>
      </c>
      <c r="E2372" s="2">
        <v>1</v>
      </c>
      <c r="F2372" s="2">
        <v>1</v>
      </c>
      <c r="G2372" s="2">
        <v>1</v>
      </c>
      <c r="H2372" s="2">
        <v>1</v>
      </c>
    </row>
    <row r="2373" spans="1:8" x14ac:dyDescent="0.25">
      <c r="A2373" s="1" t="str">
        <f>"07726"</f>
        <v>07726</v>
      </c>
      <c r="B2373" s="1" t="str">
        <f>"35154"</f>
        <v>35154</v>
      </c>
      <c r="C2373" s="1" t="str">
        <f>"ENGLISHTOWN"</f>
        <v>ENGLISHTOWN</v>
      </c>
      <c r="D2373" s="1" t="str">
        <f t="shared" si="169"/>
        <v>NJ</v>
      </c>
      <c r="E2373" s="2">
        <v>1</v>
      </c>
      <c r="F2373" s="2">
        <v>1</v>
      </c>
      <c r="G2373" s="2">
        <v>1</v>
      </c>
      <c r="H2373" s="2">
        <v>1</v>
      </c>
    </row>
    <row r="2374" spans="1:8" x14ac:dyDescent="0.25">
      <c r="A2374" s="1" t="str">
        <f>"07802"</f>
        <v>07802</v>
      </c>
      <c r="B2374" s="1" t="str">
        <f>"35084"</f>
        <v>35084</v>
      </c>
      <c r="C2374" s="1" t="str">
        <f>"DOVER"</f>
        <v>DOVER</v>
      </c>
      <c r="D2374" s="1" t="str">
        <f t="shared" si="169"/>
        <v>NJ</v>
      </c>
      <c r="E2374" s="2">
        <v>1</v>
      </c>
      <c r="F2374" s="2">
        <v>1</v>
      </c>
      <c r="G2374" s="2">
        <v>1</v>
      </c>
      <c r="H2374" s="2">
        <v>1</v>
      </c>
    </row>
    <row r="2375" spans="1:8" x14ac:dyDescent="0.25">
      <c r="A2375" s="1" t="str">
        <f>"07885"</f>
        <v>07885</v>
      </c>
      <c r="B2375" s="1" t="str">
        <f>"35084"</f>
        <v>35084</v>
      </c>
      <c r="C2375" s="1" t="str">
        <f>"WHARTON"</f>
        <v>WHARTON</v>
      </c>
      <c r="D2375" s="1" t="str">
        <f t="shared" si="169"/>
        <v>NJ</v>
      </c>
      <c r="E2375" s="2">
        <v>1</v>
      </c>
      <c r="F2375" s="2">
        <v>1</v>
      </c>
      <c r="G2375" s="2">
        <v>1</v>
      </c>
      <c r="H2375" s="2">
        <v>1</v>
      </c>
    </row>
    <row r="2376" spans="1:8" x14ac:dyDescent="0.25">
      <c r="A2376" s="1" t="str">
        <f>"08020"</f>
        <v>08020</v>
      </c>
      <c r="B2376" s="1" t="str">
        <f>"15804"</f>
        <v>15804</v>
      </c>
      <c r="C2376" s="1" t="str">
        <f>"CLARKSBORO"</f>
        <v>CLARKSBORO</v>
      </c>
      <c r="D2376" s="1" t="str">
        <f t="shared" si="169"/>
        <v>NJ</v>
      </c>
      <c r="E2376" s="2">
        <v>1</v>
      </c>
      <c r="F2376" s="2">
        <v>1</v>
      </c>
      <c r="G2376" s="2">
        <v>1</v>
      </c>
      <c r="H2376" s="2">
        <v>1</v>
      </c>
    </row>
    <row r="2377" spans="1:8" x14ac:dyDescent="0.25">
      <c r="A2377" s="1" t="str">
        <f>"08045"</f>
        <v>08045</v>
      </c>
      <c r="B2377" s="1" t="str">
        <f>"15804"</f>
        <v>15804</v>
      </c>
      <c r="C2377" s="1" t="str">
        <f>"LAWNSIDE"</f>
        <v>LAWNSIDE</v>
      </c>
      <c r="D2377" s="1" t="str">
        <f t="shared" si="169"/>
        <v>NJ</v>
      </c>
      <c r="E2377" s="2">
        <v>1</v>
      </c>
      <c r="F2377" s="2">
        <v>1</v>
      </c>
      <c r="G2377" s="2">
        <v>1</v>
      </c>
      <c r="H2377" s="2">
        <v>1</v>
      </c>
    </row>
    <row r="2378" spans="1:8" x14ac:dyDescent="0.25">
      <c r="A2378" s="1" t="str">
        <f>"08054"</f>
        <v>08054</v>
      </c>
      <c r="B2378" s="1" t="str">
        <f>"15804"</f>
        <v>15804</v>
      </c>
      <c r="C2378" s="1" t="str">
        <f>"MOUNT LAUREL"</f>
        <v>MOUNT LAUREL</v>
      </c>
      <c r="D2378" s="1" t="str">
        <f t="shared" si="169"/>
        <v>NJ</v>
      </c>
      <c r="E2378" s="2">
        <v>1</v>
      </c>
      <c r="F2378" s="2">
        <v>1</v>
      </c>
      <c r="G2378" s="2">
        <v>1</v>
      </c>
      <c r="H2378" s="2">
        <v>1</v>
      </c>
    </row>
    <row r="2379" spans="1:8" x14ac:dyDescent="0.25">
      <c r="A2379" s="1" t="str">
        <f>"08830"</f>
        <v>08830</v>
      </c>
      <c r="B2379" s="1" t="str">
        <f>"35154"</f>
        <v>35154</v>
      </c>
      <c r="C2379" s="1" t="str">
        <f>"ISELIN"</f>
        <v>ISELIN</v>
      </c>
      <c r="D2379" s="1" t="str">
        <f t="shared" si="169"/>
        <v>NJ</v>
      </c>
      <c r="E2379" s="2">
        <v>1</v>
      </c>
      <c r="F2379" s="2">
        <v>1</v>
      </c>
      <c r="G2379" s="2">
        <v>1</v>
      </c>
      <c r="H2379" s="2">
        <v>1</v>
      </c>
    </row>
    <row r="2380" spans="1:8" x14ac:dyDescent="0.25">
      <c r="A2380" s="1" t="str">
        <f>"08827"</f>
        <v>08827</v>
      </c>
      <c r="B2380" s="1" t="str">
        <f>"35084"</f>
        <v>35084</v>
      </c>
      <c r="C2380" s="1" t="str">
        <f>"HAMPTON"</f>
        <v>HAMPTON</v>
      </c>
      <c r="D2380" s="1" t="str">
        <f t="shared" si="169"/>
        <v>NJ</v>
      </c>
      <c r="E2380" s="2">
        <v>1</v>
      </c>
      <c r="F2380" s="2">
        <v>1</v>
      </c>
      <c r="G2380" s="2">
        <v>1</v>
      </c>
      <c r="H2380" s="2">
        <v>1</v>
      </c>
    </row>
    <row r="2381" spans="1:8" x14ac:dyDescent="0.25">
      <c r="A2381" s="1" t="str">
        <f>"08876"</f>
        <v>08876</v>
      </c>
      <c r="B2381" s="1" t="str">
        <f>"35084"</f>
        <v>35084</v>
      </c>
      <c r="C2381" s="1" t="str">
        <f>"SOMERVILLE"</f>
        <v>SOMERVILLE</v>
      </c>
      <c r="D2381" s="1" t="str">
        <f t="shared" si="169"/>
        <v>NJ</v>
      </c>
      <c r="E2381" s="2">
        <v>1.3115916341722701E-2</v>
      </c>
      <c r="F2381" s="2">
        <v>4.7718930256947997E-2</v>
      </c>
      <c r="G2381" s="2">
        <v>2.9891304347826001E-2</v>
      </c>
      <c r="H2381" s="2">
        <v>1.87405758598405E-2</v>
      </c>
    </row>
    <row r="2382" spans="1:8" x14ac:dyDescent="0.25">
      <c r="A2382" s="1" t="str">
        <f>"08876"</f>
        <v>08876</v>
      </c>
      <c r="B2382" s="1" t="str">
        <f>"35154"</f>
        <v>35154</v>
      </c>
      <c r="C2382" s="1" t="str">
        <f>"SOMERVILLE"</f>
        <v>SOMERVILLE</v>
      </c>
      <c r="D2382" s="1" t="str">
        <f t="shared" si="169"/>
        <v>NJ</v>
      </c>
      <c r="E2382" s="2">
        <v>0.98688408365827696</v>
      </c>
      <c r="F2382" s="2">
        <v>0.95228106974305105</v>
      </c>
      <c r="G2382" s="2">
        <v>0.97010869565217295</v>
      </c>
      <c r="H2382" s="2">
        <v>0.98125942414015899</v>
      </c>
    </row>
    <row r="2383" spans="1:8" x14ac:dyDescent="0.25">
      <c r="A2383" s="1" t="str">
        <f>"08904"</f>
        <v>08904</v>
      </c>
      <c r="B2383" s="1" t="str">
        <f>"35154"</f>
        <v>35154</v>
      </c>
      <c r="C2383" s="1" t="str">
        <f>"HIGHLAND PARK"</f>
        <v>HIGHLAND PARK</v>
      </c>
      <c r="D2383" s="1" t="str">
        <f t="shared" si="169"/>
        <v>NJ</v>
      </c>
      <c r="E2383" s="2">
        <v>1</v>
      </c>
      <c r="F2383" s="2">
        <v>1</v>
      </c>
      <c r="G2383" s="2">
        <v>1</v>
      </c>
      <c r="H2383" s="2">
        <v>1</v>
      </c>
    </row>
    <row r="2384" spans="1:8" x14ac:dyDescent="0.25">
      <c r="A2384" s="1" t="str">
        <f>"10129"</f>
        <v>10129</v>
      </c>
      <c r="B2384" s="1" t="str">
        <f t="shared" ref="B2384:B2390" si="170">"35614"</f>
        <v>35614</v>
      </c>
      <c r="C2384" s="1" t="str">
        <f>"NEW YORK"</f>
        <v>NEW YORK</v>
      </c>
      <c r="D2384" s="1" t="str">
        <f t="shared" ref="D2384:D2397" si="171">"NY"</f>
        <v>NY</v>
      </c>
      <c r="E2384" s="2">
        <v>1</v>
      </c>
      <c r="F2384" s="2">
        <v>1</v>
      </c>
      <c r="G2384" s="2">
        <v>1</v>
      </c>
      <c r="H2384" s="2">
        <v>1</v>
      </c>
    </row>
    <row r="2385" spans="1:8" x14ac:dyDescent="0.25">
      <c r="A2385" s="1" t="str">
        <f>"10456"</f>
        <v>10456</v>
      </c>
      <c r="B2385" s="1" t="str">
        <f t="shared" si="170"/>
        <v>35614</v>
      </c>
      <c r="C2385" s="1" t="str">
        <f>"BRONX"</f>
        <v>BRONX</v>
      </c>
      <c r="D2385" s="1" t="str">
        <f t="shared" si="171"/>
        <v>NY</v>
      </c>
      <c r="E2385" s="2">
        <v>1</v>
      </c>
      <c r="F2385" s="2">
        <v>1</v>
      </c>
      <c r="G2385" s="2">
        <v>1</v>
      </c>
      <c r="H2385" s="2">
        <v>1</v>
      </c>
    </row>
    <row r="2386" spans="1:8" x14ac:dyDescent="0.25">
      <c r="A2386" s="1" t="str">
        <f>"10314"</f>
        <v>10314</v>
      </c>
      <c r="B2386" s="1" t="str">
        <f t="shared" si="170"/>
        <v>35614</v>
      </c>
      <c r="C2386" s="1" t="str">
        <f>"STATEN ISLAND"</f>
        <v>STATEN ISLAND</v>
      </c>
      <c r="D2386" s="1" t="str">
        <f t="shared" si="171"/>
        <v>NY</v>
      </c>
      <c r="E2386" s="2">
        <v>1</v>
      </c>
      <c r="F2386" s="2">
        <v>1</v>
      </c>
      <c r="G2386" s="2">
        <v>1</v>
      </c>
      <c r="H2386" s="2">
        <v>1</v>
      </c>
    </row>
    <row r="2387" spans="1:8" x14ac:dyDescent="0.25">
      <c r="A2387" s="1" t="str">
        <f>"11249"</f>
        <v>11249</v>
      </c>
      <c r="B2387" s="1" t="str">
        <f t="shared" si="170"/>
        <v>35614</v>
      </c>
      <c r="C2387" s="1" t="str">
        <f>"BROOKLYN"</f>
        <v>BROOKLYN</v>
      </c>
      <c r="D2387" s="1" t="str">
        <f t="shared" si="171"/>
        <v>NY</v>
      </c>
      <c r="E2387" s="2">
        <v>1</v>
      </c>
      <c r="F2387" s="2">
        <v>1</v>
      </c>
      <c r="G2387" s="2">
        <v>1</v>
      </c>
      <c r="H2387" s="2">
        <v>1</v>
      </c>
    </row>
    <row r="2388" spans="1:8" x14ac:dyDescent="0.25">
      <c r="A2388" s="1" t="str">
        <f>"11239"</f>
        <v>11239</v>
      </c>
      <c r="B2388" s="1" t="str">
        <f t="shared" si="170"/>
        <v>35614</v>
      </c>
      <c r="C2388" s="1" t="str">
        <f>"BROOKLYN"</f>
        <v>BROOKLYN</v>
      </c>
      <c r="D2388" s="1" t="str">
        <f t="shared" si="171"/>
        <v>NY</v>
      </c>
      <c r="E2388" s="2">
        <v>1</v>
      </c>
      <c r="F2388" s="2">
        <v>1</v>
      </c>
      <c r="G2388" s="2">
        <v>1</v>
      </c>
      <c r="H2388" s="2">
        <v>1</v>
      </c>
    </row>
    <row r="2389" spans="1:8" x14ac:dyDescent="0.25">
      <c r="A2389" s="1" t="str">
        <f>"11364"</f>
        <v>11364</v>
      </c>
      <c r="B2389" s="1" t="str">
        <f t="shared" si="170"/>
        <v>35614</v>
      </c>
      <c r="C2389" s="1" t="str">
        <f>"OAKLAND GARDENS"</f>
        <v>OAKLAND GARDENS</v>
      </c>
      <c r="D2389" s="1" t="str">
        <f t="shared" si="171"/>
        <v>NY</v>
      </c>
      <c r="E2389" s="2">
        <v>1</v>
      </c>
      <c r="F2389" s="2">
        <v>1</v>
      </c>
      <c r="G2389" s="2">
        <v>1</v>
      </c>
      <c r="H2389" s="2">
        <v>1</v>
      </c>
    </row>
    <row r="2390" spans="1:8" x14ac:dyDescent="0.25">
      <c r="A2390" s="1" t="str">
        <f>"11361"</f>
        <v>11361</v>
      </c>
      <c r="B2390" s="1" t="str">
        <f t="shared" si="170"/>
        <v>35614</v>
      </c>
      <c r="C2390" s="1" t="str">
        <f>"BAYSIDE"</f>
        <v>BAYSIDE</v>
      </c>
      <c r="D2390" s="1" t="str">
        <f t="shared" si="171"/>
        <v>NY</v>
      </c>
      <c r="E2390" s="2">
        <v>1</v>
      </c>
      <c r="F2390" s="2">
        <v>1</v>
      </c>
      <c r="G2390" s="2">
        <v>1</v>
      </c>
      <c r="H2390" s="2">
        <v>1</v>
      </c>
    </row>
    <row r="2391" spans="1:8" x14ac:dyDescent="0.25">
      <c r="A2391" s="1" t="str">
        <f>"11510"</f>
        <v>11510</v>
      </c>
      <c r="B2391" s="1" t="str">
        <f>"35004"</f>
        <v>35004</v>
      </c>
      <c r="C2391" s="1" t="str">
        <f>"BALDWIN"</f>
        <v>BALDWIN</v>
      </c>
      <c r="D2391" s="1" t="str">
        <f t="shared" si="171"/>
        <v>NY</v>
      </c>
      <c r="E2391" s="2">
        <v>1</v>
      </c>
      <c r="F2391" s="2">
        <v>1</v>
      </c>
      <c r="G2391" s="2">
        <v>1</v>
      </c>
      <c r="H2391" s="2">
        <v>1</v>
      </c>
    </row>
    <row r="2392" spans="1:8" x14ac:dyDescent="0.25">
      <c r="A2392" s="1" t="str">
        <f>"11516"</f>
        <v>11516</v>
      </c>
      <c r="B2392" s="1" t="str">
        <f>"35004"</f>
        <v>35004</v>
      </c>
      <c r="C2392" s="1" t="str">
        <f>"CEDARHURST"</f>
        <v>CEDARHURST</v>
      </c>
      <c r="D2392" s="1" t="str">
        <f t="shared" si="171"/>
        <v>NY</v>
      </c>
      <c r="E2392" s="2">
        <v>1</v>
      </c>
      <c r="F2392" s="2">
        <v>1</v>
      </c>
      <c r="G2392" s="2">
        <v>1</v>
      </c>
      <c r="H2392" s="2">
        <v>1</v>
      </c>
    </row>
    <row r="2393" spans="1:8" x14ac:dyDescent="0.25">
      <c r="A2393" s="1" t="str">
        <f>"11579"</f>
        <v>11579</v>
      </c>
      <c r="B2393" s="1" t="str">
        <f>"35004"</f>
        <v>35004</v>
      </c>
      <c r="C2393" s="1" t="str">
        <f>"SEA CLIFF"</f>
        <v>SEA CLIFF</v>
      </c>
      <c r="D2393" s="1" t="str">
        <f t="shared" si="171"/>
        <v>NY</v>
      </c>
      <c r="E2393" s="2">
        <v>1</v>
      </c>
      <c r="F2393" s="2">
        <v>1</v>
      </c>
      <c r="G2393" s="2">
        <v>1</v>
      </c>
      <c r="H2393" s="2">
        <v>1</v>
      </c>
    </row>
    <row r="2394" spans="1:8" x14ac:dyDescent="0.25">
      <c r="A2394" s="1" t="str">
        <f>"11741"</f>
        <v>11741</v>
      </c>
      <c r="B2394" s="1" t="str">
        <f>"35004"</f>
        <v>35004</v>
      </c>
      <c r="C2394" s="1" t="str">
        <f>"HOLBROOK"</f>
        <v>HOLBROOK</v>
      </c>
      <c r="D2394" s="1" t="str">
        <f t="shared" si="171"/>
        <v>NY</v>
      </c>
      <c r="E2394" s="2">
        <v>1</v>
      </c>
      <c r="F2394" s="2">
        <v>1</v>
      </c>
      <c r="G2394" s="2">
        <v>1</v>
      </c>
      <c r="H2394" s="2">
        <v>1</v>
      </c>
    </row>
    <row r="2395" spans="1:8" x14ac:dyDescent="0.25">
      <c r="A2395" s="1" t="str">
        <f>"11738"</f>
        <v>11738</v>
      </c>
      <c r="B2395" s="1" t="str">
        <f>"35004"</f>
        <v>35004</v>
      </c>
      <c r="C2395" s="1" t="str">
        <f>"FARMINGVILLE"</f>
        <v>FARMINGVILLE</v>
      </c>
      <c r="D2395" s="1" t="str">
        <f t="shared" si="171"/>
        <v>NY</v>
      </c>
      <c r="E2395" s="2">
        <v>1</v>
      </c>
      <c r="F2395" s="2">
        <v>1</v>
      </c>
      <c r="G2395" s="2">
        <v>1</v>
      </c>
      <c r="H2395" s="2">
        <v>1</v>
      </c>
    </row>
    <row r="2396" spans="1:8" x14ac:dyDescent="0.25">
      <c r="A2396" s="1" t="str">
        <f>"10573"</f>
        <v>10573</v>
      </c>
      <c r="B2396" s="1" t="str">
        <f>"35614"</f>
        <v>35614</v>
      </c>
      <c r="C2396" s="1" t="str">
        <f>"PORT CHESTER"</f>
        <v>PORT CHESTER</v>
      </c>
      <c r="D2396" s="1" t="str">
        <f t="shared" si="171"/>
        <v>NY</v>
      </c>
      <c r="E2396" s="2">
        <v>1</v>
      </c>
      <c r="F2396" s="2">
        <v>1</v>
      </c>
      <c r="G2396" s="2">
        <v>1</v>
      </c>
      <c r="H2396" s="2">
        <v>1</v>
      </c>
    </row>
    <row r="2397" spans="1:8" x14ac:dyDescent="0.25">
      <c r="A2397" s="1" t="str">
        <f>"10577"</f>
        <v>10577</v>
      </c>
      <c r="B2397" s="1" t="str">
        <f>"35614"</f>
        <v>35614</v>
      </c>
      <c r="C2397" s="1" t="str">
        <f>"PURCHASE"</f>
        <v>PURCHASE</v>
      </c>
      <c r="D2397" s="1" t="str">
        <f t="shared" si="171"/>
        <v>NY</v>
      </c>
      <c r="E2397" s="2">
        <v>1</v>
      </c>
      <c r="F2397" s="2">
        <v>1</v>
      </c>
      <c r="G2397" s="2">
        <v>1</v>
      </c>
      <c r="H2397" s="2">
        <v>1</v>
      </c>
    </row>
    <row r="2398" spans="1:8" x14ac:dyDescent="0.25">
      <c r="A2398" s="1" t="str">
        <f>"18328"</f>
        <v>18328</v>
      </c>
      <c r="B2398" s="1" t="str">
        <f>"35084"</f>
        <v>35084</v>
      </c>
      <c r="C2398" s="1" t="str">
        <f>"DINGMANS FERRY"</f>
        <v>DINGMANS FERRY</v>
      </c>
      <c r="D2398" s="1" t="str">
        <f>"PA"</f>
        <v>PA</v>
      </c>
      <c r="E2398" s="2">
        <v>1</v>
      </c>
      <c r="F2398" s="2">
        <v>1</v>
      </c>
      <c r="G2398" s="2">
        <v>1</v>
      </c>
      <c r="H2398" s="2">
        <v>1</v>
      </c>
    </row>
    <row r="2399" spans="1:8" x14ac:dyDescent="0.25">
      <c r="A2399" s="1" t="str">
        <f>"19128"</f>
        <v>19128</v>
      </c>
      <c r="B2399" s="1" t="str">
        <f>"37964"</f>
        <v>37964</v>
      </c>
      <c r="C2399" s="1" t="str">
        <f>"PHILADELPHIA"</f>
        <v>PHILADELPHIA</v>
      </c>
      <c r="D2399" s="1" t="str">
        <f>"PA"</f>
        <v>PA</v>
      </c>
      <c r="E2399" s="2">
        <v>0.99848167539266997</v>
      </c>
      <c r="F2399" s="2">
        <v>0.99249061326658305</v>
      </c>
      <c r="G2399" s="2">
        <v>0.99587458745874502</v>
      </c>
      <c r="H2399" s="2">
        <v>0.998105253185543</v>
      </c>
    </row>
    <row r="2400" spans="1:8" x14ac:dyDescent="0.25">
      <c r="A2400" s="1" t="str">
        <f>"19128"</f>
        <v>19128</v>
      </c>
      <c r="B2400" s="1" t="str">
        <f>"33874"</f>
        <v>33874</v>
      </c>
      <c r="C2400" s="1" t="str">
        <f>"PHILADELPHIA"</f>
        <v>PHILADELPHIA</v>
      </c>
      <c r="D2400" s="1" t="str">
        <f>"PA"</f>
        <v>PA</v>
      </c>
      <c r="E2400" s="2">
        <v>1.51832460732984E-3</v>
      </c>
      <c r="F2400" s="2">
        <v>7.5093867334167699E-3</v>
      </c>
      <c r="G2400" s="2">
        <v>4.1254125412541198E-3</v>
      </c>
      <c r="H2400" s="2">
        <v>1.89474681445691E-3</v>
      </c>
    </row>
    <row r="2401" spans="1:8" x14ac:dyDescent="0.25">
      <c r="A2401" s="1" t="str">
        <f>"19134"</f>
        <v>19134</v>
      </c>
      <c r="B2401" s="1" t="str">
        <f>"37964"</f>
        <v>37964</v>
      </c>
      <c r="C2401" s="1" t="str">
        <f>"PHILADELPHIA"</f>
        <v>PHILADELPHIA</v>
      </c>
      <c r="D2401" s="1" t="str">
        <f>"PA"</f>
        <v>PA</v>
      </c>
      <c r="E2401" s="2">
        <v>1</v>
      </c>
      <c r="F2401" s="2">
        <v>1</v>
      </c>
      <c r="G2401" s="2">
        <v>1</v>
      </c>
      <c r="H2401" s="2">
        <v>1</v>
      </c>
    </row>
    <row r="2402" spans="1:8" x14ac:dyDescent="0.25">
      <c r="A2402" s="1" t="str">
        <f>"19525"</f>
        <v>19525</v>
      </c>
      <c r="B2402" s="1" t="str">
        <f>"33874"</f>
        <v>33874</v>
      </c>
      <c r="C2402" s="1" t="str">
        <f>"GILBERTSVILLE"</f>
        <v>GILBERTSVILLE</v>
      </c>
      <c r="D2402" s="1" t="str">
        <f>"PA"</f>
        <v>PA</v>
      </c>
      <c r="E2402" s="2">
        <v>1</v>
      </c>
      <c r="F2402" s="2">
        <v>1</v>
      </c>
      <c r="G2402" s="2">
        <v>1</v>
      </c>
      <c r="H2402" s="2">
        <v>1</v>
      </c>
    </row>
    <row r="2403" spans="1:8" x14ac:dyDescent="0.25">
      <c r="A2403" s="1" t="str">
        <f>"20637"</f>
        <v>20637</v>
      </c>
      <c r="B2403" s="1" t="str">
        <f t="shared" ref="B2403:B2410" si="172">"47894"</f>
        <v>47894</v>
      </c>
      <c r="C2403" s="1" t="str">
        <f>"HUGHESVILLE"</f>
        <v>HUGHESVILLE</v>
      </c>
      <c r="D2403" s="1" t="str">
        <f>"MD"</f>
        <v>MD</v>
      </c>
      <c r="E2403" s="2">
        <v>1</v>
      </c>
      <c r="F2403" s="2">
        <v>1</v>
      </c>
      <c r="G2403" s="2">
        <v>1</v>
      </c>
      <c r="H2403" s="2">
        <v>1</v>
      </c>
    </row>
    <row r="2404" spans="1:8" x14ac:dyDescent="0.25">
      <c r="A2404" s="1" t="str">
        <f>"20737"</f>
        <v>20737</v>
      </c>
      <c r="B2404" s="1" t="str">
        <f t="shared" si="172"/>
        <v>47894</v>
      </c>
      <c r="C2404" s="1" t="str">
        <f>"RIVERDALE"</f>
        <v>RIVERDALE</v>
      </c>
      <c r="D2404" s="1" t="str">
        <f>"MD"</f>
        <v>MD</v>
      </c>
      <c r="E2404" s="2">
        <v>1</v>
      </c>
      <c r="F2404" s="2">
        <v>1</v>
      </c>
      <c r="G2404" s="2">
        <v>1</v>
      </c>
      <c r="H2404" s="2">
        <v>1</v>
      </c>
    </row>
    <row r="2405" spans="1:8" x14ac:dyDescent="0.25">
      <c r="A2405" s="1" t="str">
        <f>"20769"</f>
        <v>20769</v>
      </c>
      <c r="B2405" s="1" t="str">
        <f t="shared" si="172"/>
        <v>47894</v>
      </c>
      <c r="C2405" s="1" t="str">
        <f>"GLENN DALE"</f>
        <v>GLENN DALE</v>
      </c>
      <c r="D2405" s="1" t="str">
        <f>"MD"</f>
        <v>MD</v>
      </c>
      <c r="E2405" s="2">
        <v>1</v>
      </c>
      <c r="F2405" s="2">
        <v>1</v>
      </c>
      <c r="G2405" s="2">
        <v>1</v>
      </c>
      <c r="H2405" s="2">
        <v>1</v>
      </c>
    </row>
    <row r="2406" spans="1:8" x14ac:dyDescent="0.25">
      <c r="A2406" s="1" t="str">
        <f>"20135"</f>
        <v>20135</v>
      </c>
      <c r="B2406" s="1" t="str">
        <f t="shared" si="172"/>
        <v>47894</v>
      </c>
      <c r="C2406" s="1" t="str">
        <f>"BLUEMONT"</f>
        <v>BLUEMONT</v>
      </c>
      <c r="D2406" s="1" t="str">
        <f>"VA"</f>
        <v>VA</v>
      </c>
      <c r="E2406" s="2">
        <v>1</v>
      </c>
      <c r="F2406" s="2">
        <v>1</v>
      </c>
      <c r="G2406" s="2">
        <v>1</v>
      </c>
      <c r="H2406" s="2">
        <v>1</v>
      </c>
    </row>
    <row r="2407" spans="1:8" x14ac:dyDescent="0.25">
      <c r="A2407" s="1" t="str">
        <f>"22150"</f>
        <v>22150</v>
      </c>
      <c r="B2407" s="1" t="str">
        <f t="shared" si="172"/>
        <v>47894</v>
      </c>
      <c r="C2407" s="1" t="str">
        <f>"SPRINGFIELD"</f>
        <v>SPRINGFIELD</v>
      </c>
      <c r="D2407" s="1" t="str">
        <f>"VA"</f>
        <v>VA</v>
      </c>
      <c r="E2407" s="2">
        <v>1</v>
      </c>
      <c r="F2407" s="2">
        <v>1</v>
      </c>
      <c r="G2407" s="2">
        <v>1</v>
      </c>
      <c r="H2407" s="2">
        <v>1</v>
      </c>
    </row>
    <row r="2408" spans="1:8" x14ac:dyDescent="0.25">
      <c r="A2408" s="1" t="str">
        <f>"22079"</f>
        <v>22079</v>
      </c>
      <c r="B2408" s="1" t="str">
        <f t="shared" si="172"/>
        <v>47894</v>
      </c>
      <c r="C2408" s="1" t="str">
        <f>"LORTON"</f>
        <v>LORTON</v>
      </c>
      <c r="D2408" s="1" t="str">
        <f>"VA"</f>
        <v>VA</v>
      </c>
      <c r="E2408" s="2">
        <v>1</v>
      </c>
      <c r="F2408" s="2">
        <v>1</v>
      </c>
      <c r="G2408" s="2">
        <v>1</v>
      </c>
      <c r="H2408" s="2">
        <v>1</v>
      </c>
    </row>
    <row r="2409" spans="1:8" x14ac:dyDescent="0.25">
      <c r="A2409" s="1" t="str">
        <f>"22205"</f>
        <v>22205</v>
      </c>
      <c r="B2409" s="1" t="str">
        <f t="shared" si="172"/>
        <v>47894</v>
      </c>
      <c r="C2409" s="1" t="str">
        <f>"ARLINGTON"</f>
        <v>ARLINGTON</v>
      </c>
      <c r="D2409" s="1" t="str">
        <f>"VA"</f>
        <v>VA</v>
      </c>
      <c r="E2409" s="2">
        <v>1</v>
      </c>
      <c r="F2409" s="2">
        <v>1</v>
      </c>
      <c r="G2409" s="2">
        <v>1</v>
      </c>
      <c r="H2409" s="2">
        <v>1</v>
      </c>
    </row>
    <row r="2410" spans="1:8" x14ac:dyDescent="0.25">
      <c r="A2410" s="1" t="str">
        <f>"22712"</f>
        <v>22712</v>
      </c>
      <c r="B2410" s="1" t="str">
        <f t="shared" si="172"/>
        <v>47894</v>
      </c>
      <c r="C2410" s="1" t="str">
        <f>"BEALETON"</f>
        <v>BEALETON</v>
      </c>
      <c r="D2410" s="1" t="str">
        <f>"VA"</f>
        <v>VA</v>
      </c>
      <c r="E2410" s="2">
        <v>1</v>
      </c>
      <c r="F2410" s="2">
        <v>1</v>
      </c>
      <c r="G2410" s="2">
        <v>1</v>
      </c>
      <c r="H2410" s="2">
        <v>1</v>
      </c>
    </row>
    <row r="2411" spans="1:8" x14ac:dyDescent="0.25">
      <c r="A2411" s="1" t="str">
        <f>"33065"</f>
        <v>33065</v>
      </c>
      <c r="B2411" s="1" t="str">
        <f>"22744"</f>
        <v>22744</v>
      </c>
      <c r="C2411" s="1" t="str">
        <f>"CORAL SPRINGS"</f>
        <v>CORAL SPRINGS</v>
      </c>
      <c r="D2411" s="1" t="str">
        <f t="shared" ref="D2411:D2417" si="173">"FL"</f>
        <v>FL</v>
      </c>
      <c r="E2411" s="2">
        <v>1</v>
      </c>
      <c r="F2411" s="2">
        <v>1</v>
      </c>
      <c r="G2411" s="2">
        <v>1</v>
      </c>
      <c r="H2411" s="2">
        <v>1</v>
      </c>
    </row>
    <row r="2412" spans="1:8" x14ac:dyDescent="0.25">
      <c r="A2412" s="1" t="str">
        <f>"33076"</f>
        <v>33076</v>
      </c>
      <c r="B2412" s="1" t="str">
        <f>"22744"</f>
        <v>22744</v>
      </c>
      <c r="C2412" s="1" t="str">
        <f>"POMPANO BEACH"</f>
        <v>POMPANO BEACH</v>
      </c>
      <c r="D2412" s="1" t="str">
        <f t="shared" si="173"/>
        <v>FL</v>
      </c>
      <c r="E2412" s="2">
        <v>1</v>
      </c>
      <c r="F2412" s="2">
        <v>1</v>
      </c>
      <c r="G2412" s="2">
        <v>1</v>
      </c>
      <c r="H2412" s="2">
        <v>1</v>
      </c>
    </row>
    <row r="2413" spans="1:8" x14ac:dyDescent="0.25">
      <c r="A2413" s="1" t="str">
        <f>"33090"</f>
        <v>33090</v>
      </c>
      <c r="B2413" s="1" t="str">
        <f>"33124"</f>
        <v>33124</v>
      </c>
      <c r="C2413" s="1" t="str">
        <f>"HOMESTEAD"</f>
        <v>HOMESTEAD</v>
      </c>
      <c r="D2413" s="1" t="str">
        <f t="shared" si="173"/>
        <v>FL</v>
      </c>
      <c r="E2413" s="2">
        <v>1</v>
      </c>
      <c r="F2413" s="2">
        <v>1</v>
      </c>
      <c r="G2413" s="2">
        <v>1</v>
      </c>
      <c r="H2413" s="2">
        <v>1</v>
      </c>
    </row>
    <row r="2414" spans="1:8" x14ac:dyDescent="0.25">
      <c r="A2414" s="1" t="str">
        <f>"33092"</f>
        <v>33092</v>
      </c>
      <c r="B2414" s="1" t="str">
        <f>"33124"</f>
        <v>33124</v>
      </c>
      <c r="C2414" s="1" t="str">
        <f>"HOMESTEAD"</f>
        <v>HOMESTEAD</v>
      </c>
      <c r="D2414" s="1" t="str">
        <f t="shared" si="173"/>
        <v>FL</v>
      </c>
      <c r="E2414" s="2">
        <v>1</v>
      </c>
      <c r="F2414" s="2">
        <v>1</v>
      </c>
      <c r="G2414" s="2">
        <v>1</v>
      </c>
      <c r="H2414" s="2">
        <v>1</v>
      </c>
    </row>
    <row r="2415" spans="1:8" x14ac:dyDescent="0.25">
      <c r="A2415" s="1" t="str">
        <f>"33401"</f>
        <v>33401</v>
      </c>
      <c r="B2415" s="1" t="str">
        <f>"48424"</f>
        <v>48424</v>
      </c>
      <c r="C2415" s="1" t="str">
        <f>"WEST PALM BEACH"</f>
        <v>WEST PALM BEACH</v>
      </c>
      <c r="D2415" s="1" t="str">
        <f t="shared" si="173"/>
        <v>FL</v>
      </c>
      <c r="E2415" s="2">
        <v>1</v>
      </c>
      <c r="F2415" s="2">
        <v>1</v>
      </c>
      <c r="G2415" s="2">
        <v>1</v>
      </c>
      <c r="H2415" s="2">
        <v>1</v>
      </c>
    </row>
    <row r="2416" spans="1:8" x14ac:dyDescent="0.25">
      <c r="A2416" s="1" t="str">
        <f>"33167"</f>
        <v>33167</v>
      </c>
      <c r="B2416" s="1" t="str">
        <f>"33124"</f>
        <v>33124</v>
      </c>
      <c r="C2416" s="1" t="str">
        <f>"MIAMI"</f>
        <v>MIAMI</v>
      </c>
      <c r="D2416" s="1" t="str">
        <f t="shared" si="173"/>
        <v>FL</v>
      </c>
      <c r="E2416" s="2">
        <v>1</v>
      </c>
      <c r="F2416" s="2">
        <v>1</v>
      </c>
      <c r="G2416" s="2">
        <v>1</v>
      </c>
      <c r="H2416" s="2">
        <v>1</v>
      </c>
    </row>
    <row r="2417" spans="1:8" x14ac:dyDescent="0.25">
      <c r="A2417" s="1" t="str">
        <f>"33306"</f>
        <v>33306</v>
      </c>
      <c r="B2417" s="1" t="str">
        <f>"22744"</f>
        <v>22744</v>
      </c>
      <c r="C2417" s="1" t="str">
        <f>"FORT LAUDERDALE"</f>
        <v>FORT LAUDERDALE</v>
      </c>
      <c r="D2417" s="1" t="str">
        <f t="shared" si="173"/>
        <v>FL</v>
      </c>
      <c r="E2417" s="2">
        <v>1</v>
      </c>
      <c r="F2417" s="2">
        <v>1</v>
      </c>
      <c r="G2417" s="2">
        <v>1</v>
      </c>
      <c r="H2417" s="2">
        <v>1</v>
      </c>
    </row>
    <row r="2418" spans="1:8" x14ac:dyDescent="0.25">
      <c r="A2418" s="1" t="str">
        <f>"46312"</f>
        <v>46312</v>
      </c>
      <c r="B2418" s="1" t="str">
        <f>"23844"</f>
        <v>23844</v>
      </c>
      <c r="C2418" s="1" t="str">
        <f>"EAST CHICAGO"</f>
        <v>EAST CHICAGO</v>
      </c>
      <c r="D2418" s="1" t="str">
        <f>"IN"</f>
        <v>IN</v>
      </c>
      <c r="E2418" s="2">
        <v>1</v>
      </c>
      <c r="F2418" s="2">
        <v>1</v>
      </c>
      <c r="G2418" s="2">
        <v>1</v>
      </c>
      <c r="H2418" s="2">
        <v>1</v>
      </c>
    </row>
    <row r="2419" spans="1:8" x14ac:dyDescent="0.25">
      <c r="A2419" s="1" t="str">
        <f>"46383"</f>
        <v>46383</v>
      </c>
      <c r="B2419" s="1" t="str">
        <f>"23844"</f>
        <v>23844</v>
      </c>
      <c r="C2419" s="1" t="str">
        <f>"VALPARAISO"</f>
        <v>VALPARAISO</v>
      </c>
      <c r="D2419" s="1" t="str">
        <f>"IN"</f>
        <v>IN</v>
      </c>
      <c r="E2419" s="2">
        <v>1</v>
      </c>
      <c r="F2419" s="2">
        <v>1</v>
      </c>
      <c r="G2419" s="2">
        <v>1</v>
      </c>
      <c r="H2419" s="2">
        <v>1</v>
      </c>
    </row>
    <row r="2420" spans="1:8" x14ac:dyDescent="0.25">
      <c r="A2420" s="1" t="str">
        <f>"46376"</f>
        <v>46376</v>
      </c>
      <c r="B2420" s="1" t="str">
        <f>"23844"</f>
        <v>23844</v>
      </c>
      <c r="C2420" s="1" t="str">
        <f>"SCHNEIDER"</f>
        <v>SCHNEIDER</v>
      </c>
      <c r="D2420" s="1" t="str">
        <f>"IN"</f>
        <v>IN</v>
      </c>
      <c r="E2420" s="2">
        <v>1</v>
      </c>
      <c r="F2420" s="2">
        <v>1</v>
      </c>
      <c r="G2420" s="2">
        <v>1</v>
      </c>
      <c r="H2420" s="2">
        <v>1</v>
      </c>
    </row>
    <row r="2421" spans="1:8" x14ac:dyDescent="0.25">
      <c r="A2421" s="1" t="str">
        <f>"48074"</f>
        <v>48074</v>
      </c>
      <c r="B2421" s="1" t="str">
        <f>"47664"</f>
        <v>47664</v>
      </c>
      <c r="C2421" s="1" t="str">
        <f>"SMITHS CREEK"</f>
        <v>SMITHS CREEK</v>
      </c>
      <c r="D2421" s="1" t="str">
        <f t="shared" ref="D2421:D2428" si="174">"MI"</f>
        <v>MI</v>
      </c>
      <c r="E2421" s="2">
        <v>1</v>
      </c>
      <c r="F2421" s="2">
        <v>1</v>
      </c>
      <c r="G2421" s="2">
        <v>1</v>
      </c>
      <c r="H2421" s="2">
        <v>1</v>
      </c>
    </row>
    <row r="2422" spans="1:8" x14ac:dyDescent="0.25">
      <c r="A2422" s="1" t="str">
        <f>"48342"</f>
        <v>48342</v>
      </c>
      <c r="B2422" s="1" t="str">
        <f>"47664"</f>
        <v>47664</v>
      </c>
      <c r="C2422" s="1" t="str">
        <f>"PONTIAC"</f>
        <v>PONTIAC</v>
      </c>
      <c r="D2422" s="1" t="str">
        <f t="shared" si="174"/>
        <v>MI</v>
      </c>
      <c r="E2422" s="2">
        <v>1</v>
      </c>
      <c r="F2422" s="2">
        <v>1</v>
      </c>
      <c r="G2422" s="2">
        <v>1</v>
      </c>
      <c r="H2422" s="2">
        <v>1</v>
      </c>
    </row>
    <row r="2423" spans="1:8" x14ac:dyDescent="0.25">
      <c r="A2423" s="1" t="str">
        <f>"48183"</f>
        <v>48183</v>
      </c>
      <c r="B2423" s="1" t="str">
        <f t="shared" ref="B2423:B2428" si="175">"19804"</f>
        <v>19804</v>
      </c>
      <c r="C2423" s="1" t="str">
        <f>"TRENTON"</f>
        <v>TRENTON</v>
      </c>
      <c r="D2423" s="1" t="str">
        <f t="shared" si="174"/>
        <v>MI</v>
      </c>
      <c r="E2423" s="2">
        <v>1</v>
      </c>
      <c r="F2423" s="2">
        <v>1</v>
      </c>
      <c r="G2423" s="2">
        <v>1</v>
      </c>
      <c r="H2423" s="2">
        <v>1</v>
      </c>
    </row>
    <row r="2424" spans="1:8" x14ac:dyDescent="0.25">
      <c r="A2424" s="1" t="str">
        <f>"48154"</f>
        <v>48154</v>
      </c>
      <c r="B2424" s="1" t="str">
        <f t="shared" si="175"/>
        <v>19804</v>
      </c>
      <c r="C2424" s="1" t="str">
        <f>"LIVONIA"</f>
        <v>LIVONIA</v>
      </c>
      <c r="D2424" s="1" t="str">
        <f t="shared" si="174"/>
        <v>MI</v>
      </c>
      <c r="E2424" s="2">
        <v>1</v>
      </c>
      <c r="F2424" s="2">
        <v>1</v>
      </c>
      <c r="G2424" s="2">
        <v>1</v>
      </c>
      <c r="H2424" s="2">
        <v>1</v>
      </c>
    </row>
    <row r="2425" spans="1:8" x14ac:dyDescent="0.25">
      <c r="A2425" s="1" t="str">
        <f>"48188"</f>
        <v>48188</v>
      </c>
      <c r="B2425" s="1" t="str">
        <f t="shared" si="175"/>
        <v>19804</v>
      </c>
      <c r="C2425" s="1" t="str">
        <f>"CANTON"</f>
        <v>CANTON</v>
      </c>
      <c r="D2425" s="1" t="str">
        <f t="shared" si="174"/>
        <v>MI</v>
      </c>
      <c r="E2425" s="2">
        <v>1</v>
      </c>
      <c r="F2425" s="2">
        <v>1</v>
      </c>
      <c r="G2425" s="2">
        <v>1</v>
      </c>
      <c r="H2425" s="2">
        <v>1</v>
      </c>
    </row>
    <row r="2426" spans="1:8" x14ac:dyDescent="0.25">
      <c r="A2426" s="1" t="str">
        <f>"48124"</f>
        <v>48124</v>
      </c>
      <c r="B2426" s="1" t="str">
        <f t="shared" si="175"/>
        <v>19804</v>
      </c>
      <c r="C2426" s="1" t="str">
        <f>"DEARBORN"</f>
        <v>DEARBORN</v>
      </c>
      <c r="D2426" s="1" t="str">
        <f t="shared" si="174"/>
        <v>MI</v>
      </c>
      <c r="E2426" s="2">
        <v>1</v>
      </c>
      <c r="F2426" s="2">
        <v>1</v>
      </c>
      <c r="G2426" s="2">
        <v>1</v>
      </c>
      <c r="H2426" s="2">
        <v>1</v>
      </c>
    </row>
    <row r="2427" spans="1:8" x14ac:dyDescent="0.25">
      <c r="A2427" s="1" t="str">
        <f>"48150"</f>
        <v>48150</v>
      </c>
      <c r="B2427" s="1" t="str">
        <f t="shared" si="175"/>
        <v>19804</v>
      </c>
      <c r="C2427" s="1" t="str">
        <f>"LIVONIA"</f>
        <v>LIVONIA</v>
      </c>
      <c r="D2427" s="1" t="str">
        <f t="shared" si="174"/>
        <v>MI</v>
      </c>
      <c r="E2427" s="2">
        <v>1</v>
      </c>
      <c r="F2427" s="2">
        <v>1</v>
      </c>
      <c r="G2427" s="2">
        <v>1</v>
      </c>
      <c r="H2427" s="2">
        <v>1</v>
      </c>
    </row>
    <row r="2428" spans="1:8" x14ac:dyDescent="0.25">
      <c r="A2428" s="1" t="str">
        <f>"48208"</f>
        <v>48208</v>
      </c>
      <c r="B2428" s="1" t="str">
        <f t="shared" si="175"/>
        <v>19804</v>
      </c>
      <c r="C2428" s="1" t="str">
        <f>"DETROIT"</f>
        <v>DETROIT</v>
      </c>
      <c r="D2428" s="1" t="str">
        <f t="shared" si="174"/>
        <v>MI</v>
      </c>
      <c r="E2428" s="2">
        <v>1</v>
      </c>
      <c r="F2428" s="2">
        <v>1</v>
      </c>
      <c r="G2428" s="2">
        <v>1</v>
      </c>
      <c r="H2428" s="2">
        <v>1</v>
      </c>
    </row>
    <row r="2429" spans="1:8" x14ac:dyDescent="0.25">
      <c r="A2429" s="1" t="str">
        <f>"53140"</f>
        <v>53140</v>
      </c>
      <c r="B2429" s="1" t="str">
        <f>"29404"</f>
        <v>29404</v>
      </c>
      <c r="C2429" s="1" t="str">
        <f>"KENOSHA"</f>
        <v>KENOSHA</v>
      </c>
      <c r="D2429" s="1" t="str">
        <f>"WI"</f>
        <v>WI</v>
      </c>
      <c r="E2429" s="2">
        <v>1</v>
      </c>
      <c r="F2429" s="2">
        <v>1</v>
      </c>
      <c r="G2429" s="2">
        <v>1</v>
      </c>
      <c r="H2429" s="2">
        <v>1</v>
      </c>
    </row>
    <row r="2430" spans="1:8" x14ac:dyDescent="0.25">
      <c r="A2430" s="1" t="str">
        <f>"60418"</f>
        <v>60418</v>
      </c>
      <c r="B2430" s="1" t="str">
        <f>"16984"</f>
        <v>16984</v>
      </c>
      <c r="C2430" s="1" t="str">
        <f>"CRESTWOOD"</f>
        <v>CRESTWOOD</v>
      </c>
      <c r="D2430" s="1" t="str">
        <f t="shared" ref="D2430:D2448" si="176">"IL"</f>
        <v>IL</v>
      </c>
      <c r="E2430" s="2">
        <v>1</v>
      </c>
      <c r="F2430" s="2">
        <v>1</v>
      </c>
      <c r="G2430" s="2">
        <v>1</v>
      </c>
      <c r="H2430" s="2">
        <v>1</v>
      </c>
    </row>
    <row r="2431" spans="1:8" x14ac:dyDescent="0.25">
      <c r="A2431" s="1" t="str">
        <f>"60511"</f>
        <v>60511</v>
      </c>
      <c r="B2431" s="1" t="str">
        <f>"20994"</f>
        <v>20994</v>
      </c>
      <c r="C2431" s="1" t="str">
        <f>"BIG ROCK"</f>
        <v>BIG ROCK</v>
      </c>
      <c r="D2431" s="1" t="str">
        <f t="shared" si="176"/>
        <v>IL</v>
      </c>
      <c r="E2431" s="2">
        <v>1</v>
      </c>
      <c r="F2431" s="2">
        <v>1</v>
      </c>
      <c r="G2431" s="2">
        <v>1</v>
      </c>
      <c r="H2431" s="2">
        <v>1</v>
      </c>
    </row>
    <row r="2432" spans="1:8" x14ac:dyDescent="0.25">
      <c r="A2432" s="1" t="str">
        <f>"60560"</f>
        <v>60560</v>
      </c>
      <c r="B2432" s="1" t="str">
        <f>"20994"</f>
        <v>20994</v>
      </c>
      <c r="C2432" s="1" t="str">
        <f>"YORKVILLE"</f>
        <v>YORKVILLE</v>
      </c>
      <c r="D2432" s="1" t="str">
        <f t="shared" si="176"/>
        <v>IL</v>
      </c>
      <c r="E2432" s="2">
        <v>1</v>
      </c>
      <c r="F2432" s="2">
        <v>1</v>
      </c>
      <c r="G2432" s="2">
        <v>1</v>
      </c>
      <c r="H2432" s="2">
        <v>1</v>
      </c>
    </row>
    <row r="2433" spans="1:8" x14ac:dyDescent="0.25">
      <c r="A2433" s="1" t="str">
        <f>"60521"</f>
        <v>60521</v>
      </c>
      <c r="B2433" s="1" t="str">
        <f>"16984"</f>
        <v>16984</v>
      </c>
      <c r="C2433" s="1" t="str">
        <f>"HINSDALE"</f>
        <v>HINSDALE</v>
      </c>
      <c r="D2433" s="1" t="str">
        <f t="shared" si="176"/>
        <v>IL</v>
      </c>
      <c r="E2433" s="2">
        <v>1</v>
      </c>
      <c r="F2433" s="2">
        <v>1</v>
      </c>
      <c r="G2433" s="2">
        <v>1</v>
      </c>
      <c r="H2433" s="2">
        <v>1</v>
      </c>
    </row>
    <row r="2434" spans="1:8" x14ac:dyDescent="0.25">
      <c r="A2434" s="1" t="str">
        <f>"60523"</f>
        <v>60523</v>
      </c>
      <c r="B2434" s="1" t="str">
        <f>"16984"</f>
        <v>16984</v>
      </c>
      <c r="C2434" s="1" t="str">
        <f>"OAK BROOK"</f>
        <v>OAK BROOK</v>
      </c>
      <c r="D2434" s="1" t="str">
        <f t="shared" si="176"/>
        <v>IL</v>
      </c>
      <c r="E2434" s="2">
        <v>1</v>
      </c>
      <c r="F2434" s="2">
        <v>1</v>
      </c>
      <c r="G2434" s="2">
        <v>1</v>
      </c>
      <c r="H2434" s="2">
        <v>1</v>
      </c>
    </row>
    <row r="2435" spans="1:8" x14ac:dyDescent="0.25">
      <c r="A2435" s="1" t="str">
        <f>"60030"</f>
        <v>60030</v>
      </c>
      <c r="B2435" s="1" t="str">
        <f>"29404"</f>
        <v>29404</v>
      </c>
      <c r="C2435" s="1" t="str">
        <f>"GRAYSLAKE"</f>
        <v>GRAYSLAKE</v>
      </c>
      <c r="D2435" s="1" t="str">
        <f t="shared" si="176"/>
        <v>IL</v>
      </c>
      <c r="E2435" s="2">
        <v>1</v>
      </c>
      <c r="F2435" s="2">
        <v>1</v>
      </c>
      <c r="G2435" s="2">
        <v>1</v>
      </c>
      <c r="H2435" s="2">
        <v>1</v>
      </c>
    </row>
    <row r="2436" spans="1:8" x14ac:dyDescent="0.25">
      <c r="A2436" s="1" t="str">
        <f>"60035"</f>
        <v>60035</v>
      </c>
      <c r="B2436" s="1" t="str">
        <f>"29404"</f>
        <v>29404</v>
      </c>
      <c r="C2436" s="1" t="str">
        <f>"HIGHLAND PARK"</f>
        <v>HIGHLAND PARK</v>
      </c>
      <c r="D2436" s="1" t="str">
        <f t="shared" si="176"/>
        <v>IL</v>
      </c>
      <c r="E2436" s="2">
        <v>1</v>
      </c>
      <c r="F2436" s="2">
        <v>1</v>
      </c>
      <c r="G2436" s="2">
        <v>1</v>
      </c>
      <c r="H2436" s="2">
        <v>1</v>
      </c>
    </row>
    <row r="2437" spans="1:8" x14ac:dyDescent="0.25">
      <c r="A2437" s="1" t="str">
        <f>"60050"</f>
        <v>60050</v>
      </c>
      <c r="B2437" s="1" t="str">
        <f>"29404"</f>
        <v>29404</v>
      </c>
      <c r="C2437" s="1" t="str">
        <f>"MCHENRY"</f>
        <v>MCHENRY</v>
      </c>
      <c r="D2437" s="1" t="str">
        <f t="shared" si="176"/>
        <v>IL</v>
      </c>
      <c r="E2437" s="2">
        <v>1.15895254162693E-2</v>
      </c>
      <c r="F2437" s="2">
        <v>0</v>
      </c>
      <c r="G2437" s="2">
        <v>0</v>
      </c>
      <c r="H2437" s="2">
        <v>9.9772669866127796E-3</v>
      </c>
    </row>
    <row r="2438" spans="1:8" x14ac:dyDescent="0.25">
      <c r="A2438" s="1" t="str">
        <f>"60050"</f>
        <v>60050</v>
      </c>
      <c r="B2438" s="1" t="str">
        <f>"16984"</f>
        <v>16984</v>
      </c>
      <c r="C2438" s="1" t="str">
        <f>"MCHENRY"</f>
        <v>MCHENRY</v>
      </c>
      <c r="D2438" s="1" t="str">
        <f t="shared" si="176"/>
        <v>IL</v>
      </c>
      <c r="E2438" s="2">
        <v>0.98841047458372999</v>
      </c>
      <c r="F2438" s="2">
        <v>1</v>
      </c>
      <c r="G2438" s="2">
        <v>1</v>
      </c>
      <c r="H2438" s="2">
        <v>0.99002273301338695</v>
      </c>
    </row>
    <row r="2439" spans="1:8" x14ac:dyDescent="0.25">
      <c r="A2439" s="1" t="str">
        <f>"60043"</f>
        <v>60043</v>
      </c>
      <c r="B2439" s="1" t="str">
        <f>"16984"</f>
        <v>16984</v>
      </c>
      <c r="C2439" s="1" t="str">
        <f>"KENILWORTH"</f>
        <v>KENILWORTH</v>
      </c>
      <c r="D2439" s="1" t="str">
        <f t="shared" si="176"/>
        <v>IL</v>
      </c>
      <c r="E2439" s="2">
        <v>1</v>
      </c>
      <c r="F2439" s="2">
        <v>1</v>
      </c>
      <c r="G2439" s="2">
        <v>1</v>
      </c>
      <c r="H2439" s="2">
        <v>1</v>
      </c>
    </row>
    <row r="2440" spans="1:8" x14ac:dyDescent="0.25">
      <c r="A2440" s="1" t="str">
        <f>"60115"</f>
        <v>60115</v>
      </c>
      <c r="B2440" s="1" t="str">
        <f>"20994"</f>
        <v>20994</v>
      </c>
      <c r="C2440" s="1" t="str">
        <f>"DEKALB"</f>
        <v>DEKALB</v>
      </c>
      <c r="D2440" s="1" t="str">
        <f t="shared" si="176"/>
        <v>IL</v>
      </c>
      <c r="E2440" s="2">
        <v>1</v>
      </c>
      <c r="F2440" s="2">
        <v>1</v>
      </c>
      <c r="G2440" s="2">
        <v>1</v>
      </c>
      <c r="H2440" s="2">
        <v>1</v>
      </c>
    </row>
    <row r="2441" spans="1:8" x14ac:dyDescent="0.25">
      <c r="A2441" s="1" t="str">
        <f>"60121"</f>
        <v>60121</v>
      </c>
      <c r="B2441" s="1" t="str">
        <f>"20994"</f>
        <v>20994</v>
      </c>
      <c r="C2441" s="1" t="str">
        <f>"ELGIN"</f>
        <v>ELGIN</v>
      </c>
      <c r="D2441" s="1" t="str">
        <f t="shared" si="176"/>
        <v>IL</v>
      </c>
      <c r="E2441" s="2">
        <v>1</v>
      </c>
      <c r="F2441" s="2">
        <v>1</v>
      </c>
      <c r="G2441" s="2">
        <v>1</v>
      </c>
      <c r="H2441" s="2">
        <v>1</v>
      </c>
    </row>
    <row r="2442" spans="1:8" x14ac:dyDescent="0.25">
      <c r="A2442" s="1" t="str">
        <f>"60096"</f>
        <v>60096</v>
      </c>
      <c r="B2442" s="1" t="str">
        <f>"29404"</f>
        <v>29404</v>
      </c>
      <c r="C2442" s="1" t="str">
        <f>"WINTHROP HARBOR"</f>
        <v>WINTHROP HARBOR</v>
      </c>
      <c r="D2442" s="1" t="str">
        <f t="shared" si="176"/>
        <v>IL</v>
      </c>
      <c r="E2442" s="2">
        <v>1</v>
      </c>
      <c r="F2442" s="2">
        <v>1</v>
      </c>
      <c r="G2442" s="2">
        <v>1</v>
      </c>
      <c r="H2442" s="2">
        <v>1</v>
      </c>
    </row>
    <row r="2443" spans="1:8" x14ac:dyDescent="0.25">
      <c r="A2443" s="1" t="str">
        <f>"60085"</f>
        <v>60085</v>
      </c>
      <c r="B2443" s="1" t="str">
        <f>"29404"</f>
        <v>29404</v>
      </c>
      <c r="C2443" s="1" t="str">
        <f>"WAUKEGAN"</f>
        <v>WAUKEGAN</v>
      </c>
      <c r="D2443" s="1" t="str">
        <f t="shared" si="176"/>
        <v>IL</v>
      </c>
      <c r="E2443" s="2">
        <v>1</v>
      </c>
      <c r="F2443" s="2">
        <v>1</v>
      </c>
      <c r="G2443" s="2">
        <v>1</v>
      </c>
      <c r="H2443" s="2">
        <v>1</v>
      </c>
    </row>
    <row r="2444" spans="1:8" x14ac:dyDescent="0.25">
      <c r="A2444" s="1" t="str">
        <f>"60181"</f>
        <v>60181</v>
      </c>
      <c r="B2444" s="1" t="str">
        <f>"16984"</f>
        <v>16984</v>
      </c>
      <c r="C2444" s="1" t="str">
        <f>"VILLA PARK"</f>
        <v>VILLA PARK</v>
      </c>
      <c r="D2444" s="1" t="str">
        <f t="shared" si="176"/>
        <v>IL</v>
      </c>
      <c r="E2444" s="2">
        <v>1</v>
      </c>
      <c r="F2444" s="2">
        <v>1</v>
      </c>
      <c r="G2444" s="2">
        <v>1</v>
      </c>
      <c r="H2444" s="2">
        <v>1</v>
      </c>
    </row>
    <row r="2445" spans="1:8" x14ac:dyDescent="0.25">
      <c r="A2445" s="1" t="str">
        <f>"60161"</f>
        <v>60161</v>
      </c>
      <c r="B2445" s="1" t="str">
        <f>"16984"</f>
        <v>16984</v>
      </c>
      <c r="C2445" s="1" t="str">
        <f>"MELROSE PARK"</f>
        <v>MELROSE PARK</v>
      </c>
      <c r="D2445" s="1" t="str">
        <f t="shared" si="176"/>
        <v>IL</v>
      </c>
      <c r="E2445" s="2">
        <v>1</v>
      </c>
      <c r="F2445" s="2">
        <v>1</v>
      </c>
      <c r="G2445" s="2">
        <v>1</v>
      </c>
      <c r="H2445" s="2">
        <v>1</v>
      </c>
    </row>
    <row r="2446" spans="1:8" x14ac:dyDescent="0.25">
      <c r="A2446" s="1" t="str">
        <f>"60159"</f>
        <v>60159</v>
      </c>
      <c r="B2446" s="1" t="str">
        <f>"16984"</f>
        <v>16984</v>
      </c>
      <c r="C2446" s="1" t="str">
        <f>"SCHAUMBURG"</f>
        <v>SCHAUMBURG</v>
      </c>
      <c r="D2446" s="1" t="str">
        <f t="shared" si="176"/>
        <v>IL</v>
      </c>
      <c r="E2446" s="2">
        <v>1</v>
      </c>
      <c r="F2446" s="2">
        <v>1</v>
      </c>
      <c r="G2446" s="2">
        <v>1</v>
      </c>
      <c r="H2446" s="2">
        <v>1</v>
      </c>
    </row>
    <row r="2447" spans="1:8" x14ac:dyDescent="0.25">
      <c r="A2447" s="1" t="str">
        <f>"60637"</f>
        <v>60637</v>
      </c>
      <c r="B2447" s="1" t="str">
        <f>"16984"</f>
        <v>16984</v>
      </c>
      <c r="C2447" s="1" t="str">
        <f>"CHICAGO"</f>
        <v>CHICAGO</v>
      </c>
      <c r="D2447" s="1" t="str">
        <f t="shared" si="176"/>
        <v>IL</v>
      </c>
      <c r="E2447" s="2">
        <v>1</v>
      </c>
      <c r="F2447" s="2">
        <v>1</v>
      </c>
      <c r="G2447" s="2">
        <v>1</v>
      </c>
      <c r="H2447" s="2">
        <v>1</v>
      </c>
    </row>
    <row r="2448" spans="1:8" x14ac:dyDescent="0.25">
      <c r="A2448" s="1" t="str">
        <f>"60646"</f>
        <v>60646</v>
      </c>
      <c r="B2448" s="1" t="str">
        <f>"16984"</f>
        <v>16984</v>
      </c>
      <c r="C2448" s="1" t="str">
        <f>"CHICAGO"</f>
        <v>CHICAGO</v>
      </c>
      <c r="D2448" s="1" t="str">
        <f t="shared" si="176"/>
        <v>IL</v>
      </c>
      <c r="E2448" s="2">
        <v>1</v>
      </c>
      <c r="F2448" s="2">
        <v>1</v>
      </c>
      <c r="G2448" s="2">
        <v>1</v>
      </c>
      <c r="H2448" s="2">
        <v>1</v>
      </c>
    </row>
    <row r="2449" spans="1:8" x14ac:dyDescent="0.25">
      <c r="A2449" s="1" t="str">
        <f>"75025"</f>
        <v>75025</v>
      </c>
      <c r="B2449" s="1" t="str">
        <f t="shared" ref="B2449:B2456" si="177">"19124"</f>
        <v>19124</v>
      </c>
      <c r="C2449" s="1" t="str">
        <f>"PLANO"</f>
        <v>PLANO</v>
      </c>
      <c r="D2449" s="1" t="str">
        <f t="shared" ref="D2449:D2459" si="178">"TX"</f>
        <v>TX</v>
      </c>
      <c r="E2449" s="2">
        <v>1</v>
      </c>
      <c r="F2449" s="2">
        <v>1</v>
      </c>
      <c r="G2449" s="2">
        <v>1</v>
      </c>
      <c r="H2449" s="2">
        <v>1</v>
      </c>
    </row>
    <row r="2450" spans="1:8" x14ac:dyDescent="0.25">
      <c r="A2450" s="1" t="str">
        <f>"75002"</f>
        <v>75002</v>
      </c>
      <c r="B2450" s="1" t="str">
        <f t="shared" si="177"/>
        <v>19124</v>
      </c>
      <c r="C2450" s="1" t="str">
        <f>"ALLEN"</f>
        <v>ALLEN</v>
      </c>
      <c r="D2450" s="1" t="str">
        <f t="shared" si="178"/>
        <v>TX</v>
      </c>
      <c r="E2450" s="2">
        <v>1</v>
      </c>
      <c r="F2450" s="2">
        <v>1</v>
      </c>
      <c r="G2450" s="2">
        <v>1</v>
      </c>
      <c r="H2450" s="2">
        <v>1</v>
      </c>
    </row>
    <row r="2451" spans="1:8" x14ac:dyDescent="0.25">
      <c r="A2451" s="1" t="str">
        <f>"75045"</f>
        <v>75045</v>
      </c>
      <c r="B2451" s="1" t="str">
        <f t="shared" si="177"/>
        <v>19124</v>
      </c>
      <c r="C2451" s="1" t="str">
        <f>"GARLAND"</f>
        <v>GARLAND</v>
      </c>
      <c r="D2451" s="1" t="str">
        <f t="shared" si="178"/>
        <v>TX</v>
      </c>
      <c r="E2451" s="2">
        <v>1</v>
      </c>
      <c r="F2451" s="2">
        <v>1</v>
      </c>
      <c r="G2451" s="2">
        <v>1</v>
      </c>
      <c r="H2451" s="2">
        <v>1</v>
      </c>
    </row>
    <row r="2452" spans="1:8" x14ac:dyDescent="0.25">
      <c r="A2452" s="1" t="str">
        <f>"75207"</f>
        <v>75207</v>
      </c>
      <c r="B2452" s="1" t="str">
        <f t="shared" si="177"/>
        <v>19124</v>
      </c>
      <c r="C2452" s="1" t="str">
        <f>"DALLAS"</f>
        <v>DALLAS</v>
      </c>
      <c r="D2452" s="1" t="str">
        <f t="shared" si="178"/>
        <v>TX</v>
      </c>
      <c r="E2452" s="2">
        <v>1</v>
      </c>
      <c r="F2452" s="2">
        <v>1</v>
      </c>
      <c r="G2452" s="2">
        <v>1</v>
      </c>
      <c r="H2452" s="2">
        <v>1</v>
      </c>
    </row>
    <row r="2453" spans="1:8" x14ac:dyDescent="0.25">
      <c r="A2453" s="1" t="str">
        <f>"75134"</f>
        <v>75134</v>
      </c>
      <c r="B2453" s="1" t="str">
        <f t="shared" si="177"/>
        <v>19124</v>
      </c>
      <c r="C2453" s="1" t="str">
        <f>"LANCASTER"</f>
        <v>LANCASTER</v>
      </c>
      <c r="D2453" s="1" t="str">
        <f t="shared" si="178"/>
        <v>TX</v>
      </c>
      <c r="E2453" s="2">
        <v>1</v>
      </c>
      <c r="F2453" s="2">
        <v>1</v>
      </c>
      <c r="G2453" s="2">
        <v>1</v>
      </c>
      <c r="H2453" s="2">
        <v>1</v>
      </c>
    </row>
    <row r="2454" spans="1:8" x14ac:dyDescent="0.25">
      <c r="A2454" s="1" t="str">
        <f>"75075"</f>
        <v>75075</v>
      </c>
      <c r="B2454" s="1" t="str">
        <f t="shared" si="177"/>
        <v>19124</v>
      </c>
      <c r="C2454" s="1" t="str">
        <f>"PLANO"</f>
        <v>PLANO</v>
      </c>
      <c r="D2454" s="1" t="str">
        <f t="shared" si="178"/>
        <v>TX</v>
      </c>
      <c r="E2454" s="2">
        <v>1</v>
      </c>
      <c r="F2454" s="2">
        <v>1</v>
      </c>
      <c r="G2454" s="2">
        <v>1</v>
      </c>
      <c r="H2454" s="2">
        <v>1</v>
      </c>
    </row>
    <row r="2455" spans="1:8" x14ac:dyDescent="0.25">
      <c r="A2455" s="1" t="str">
        <f>"75147"</f>
        <v>75147</v>
      </c>
      <c r="B2455" s="1" t="str">
        <f t="shared" si="177"/>
        <v>19124</v>
      </c>
      <c r="C2455" s="1" t="str">
        <f>"MABANK"</f>
        <v>MABANK</v>
      </c>
      <c r="D2455" s="1" t="str">
        <f t="shared" si="178"/>
        <v>TX</v>
      </c>
      <c r="E2455" s="2">
        <v>1</v>
      </c>
      <c r="F2455" s="2">
        <v>1</v>
      </c>
      <c r="G2455" s="2">
        <v>1</v>
      </c>
      <c r="H2455" s="2">
        <v>1</v>
      </c>
    </row>
    <row r="2456" spans="1:8" x14ac:dyDescent="0.25">
      <c r="A2456" s="1" t="str">
        <f>"76201"</f>
        <v>76201</v>
      </c>
      <c r="B2456" s="1" t="str">
        <f t="shared" si="177"/>
        <v>19124</v>
      </c>
      <c r="C2456" s="1" t="str">
        <f>"DENTON"</f>
        <v>DENTON</v>
      </c>
      <c r="D2456" s="1" t="str">
        <f t="shared" si="178"/>
        <v>TX</v>
      </c>
      <c r="E2456" s="2">
        <v>1</v>
      </c>
      <c r="F2456" s="2">
        <v>1</v>
      </c>
      <c r="G2456" s="2">
        <v>1</v>
      </c>
      <c r="H2456" s="2">
        <v>1</v>
      </c>
    </row>
    <row r="2457" spans="1:8" x14ac:dyDescent="0.25">
      <c r="A2457" s="1" t="str">
        <f>"76132"</f>
        <v>76132</v>
      </c>
      <c r="B2457" s="1" t="str">
        <f>"23104"</f>
        <v>23104</v>
      </c>
      <c r="C2457" s="1" t="str">
        <f>"FORT WORTH"</f>
        <v>FORT WORTH</v>
      </c>
      <c r="D2457" s="1" t="str">
        <f t="shared" si="178"/>
        <v>TX</v>
      </c>
      <c r="E2457" s="2">
        <v>1</v>
      </c>
      <c r="F2457" s="2">
        <v>1</v>
      </c>
      <c r="G2457" s="2">
        <v>1</v>
      </c>
      <c r="H2457" s="2">
        <v>1</v>
      </c>
    </row>
    <row r="2458" spans="1:8" x14ac:dyDescent="0.25">
      <c r="A2458" s="1" t="str">
        <f>"76227"</f>
        <v>76227</v>
      </c>
      <c r="B2458" s="1" t="str">
        <f>"19124"</f>
        <v>19124</v>
      </c>
      <c r="C2458" s="1" t="str">
        <f>"AUBREY"</f>
        <v>AUBREY</v>
      </c>
      <c r="D2458" s="1" t="str">
        <f t="shared" si="178"/>
        <v>TX</v>
      </c>
      <c r="E2458" s="2">
        <v>1</v>
      </c>
      <c r="F2458" s="2">
        <v>1</v>
      </c>
      <c r="G2458" s="2">
        <v>1</v>
      </c>
      <c r="H2458" s="2">
        <v>1</v>
      </c>
    </row>
    <row r="2459" spans="1:8" x14ac:dyDescent="0.25">
      <c r="A2459" s="1" t="str">
        <f>"76270"</f>
        <v>76270</v>
      </c>
      <c r="B2459" s="1" t="str">
        <f>"23104"</f>
        <v>23104</v>
      </c>
      <c r="C2459" s="1" t="str">
        <f>"SUNSET"</f>
        <v>SUNSET</v>
      </c>
      <c r="D2459" s="1" t="str">
        <f t="shared" si="178"/>
        <v>TX</v>
      </c>
      <c r="E2459" s="2">
        <v>1</v>
      </c>
      <c r="F2459" s="2">
        <v>1</v>
      </c>
      <c r="G2459" s="2">
        <v>1</v>
      </c>
      <c r="H2459" s="2">
        <v>1</v>
      </c>
    </row>
    <row r="2460" spans="1:8" x14ac:dyDescent="0.25">
      <c r="A2460" s="1" t="str">
        <f>"91303"</f>
        <v>91303</v>
      </c>
      <c r="B2460" s="1" t="str">
        <f>"31084"</f>
        <v>31084</v>
      </c>
      <c r="C2460" s="1" t="str">
        <f>"CANOGA PARK"</f>
        <v>CANOGA PARK</v>
      </c>
      <c r="D2460" s="1" t="str">
        <f t="shared" ref="D2460:D2476" si="179">"CA"</f>
        <v>CA</v>
      </c>
      <c r="E2460" s="2">
        <v>1</v>
      </c>
      <c r="F2460" s="2">
        <v>1</v>
      </c>
      <c r="G2460" s="2">
        <v>1</v>
      </c>
      <c r="H2460" s="2">
        <v>1</v>
      </c>
    </row>
    <row r="2461" spans="1:8" x14ac:dyDescent="0.25">
      <c r="A2461" s="1" t="str">
        <f>"91307"</f>
        <v>91307</v>
      </c>
      <c r="B2461" s="1" t="str">
        <f>"31084"</f>
        <v>31084</v>
      </c>
      <c r="C2461" s="1" t="str">
        <f>"WEST HILLS"</f>
        <v>WEST HILLS</v>
      </c>
      <c r="D2461" s="1" t="str">
        <f t="shared" si="179"/>
        <v>CA</v>
      </c>
      <c r="E2461" s="2">
        <v>1</v>
      </c>
      <c r="F2461" s="2">
        <v>1</v>
      </c>
      <c r="G2461" s="2">
        <v>1</v>
      </c>
      <c r="H2461" s="2">
        <v>1</v>
      </c>
    </row>
    <row r="2462" spans="1:8" x14ac:dyDescent="0.25">
      <c r="A2462" s="1" t="str">
        <f>"91326"</f>
        <v>91326</v>
      </c>
      <c r="B2462" s="1" t="str">
        <f>"31084"</f>
        <v>31084</v>
      </c>
      <c r="C2462" s="1" t="str">
        <f>"PORTER RANCH"</f>
        <v>PORTER RANCH</v>
      </c>
      <c r="D2462" s="1" t="str">
        <f t="shared" si="179"/>
        <v>CA</v>
      </c>
      <c r="E2462" s="2">
        <v>1</v>
      </c>
      <c r="F2462" s="2">
        <v>1</v>
      </c>
      <c r="G2462" s="2">
        <v>1</v>
      </c>
      <c r="H2462" s="2">
        <v>1</v>
      </c>
    </row>
    <row r="2463" spans="1:8" x14ac:dyDescent="0.25">
      <c r="A2463" s="1" t="str">
        <f>"90623"</f>
        <v>90623</v>
      </c>
      <c r="B2463" s="1" t="str">
        <f>"31084"</f>
        <v>31084</v>
      </c>
      <c r="C2463" s="1" t="str">
        <f>"LA PALMA"</f>
        <v>LA PALMA</v>
      </c>
      <c r="D2463" s="1" t="str">
        <f t="shared" si="179"/>
        <v>CA</v>
      </c>
      <c r="E2463" s="2">
        <v>1.5984776403425299E-2</v>
      </c>
      <c r="F2463" s="2">
        <v>0</v>
      </c>
      <c r="G2463" s="2">
        <v>0</v>
      </c>
      <c r="H2463" s="2">
        <v>1.46163215590742E-2</v>
      </c>
    </row>
    <row r="2464" spans="1:8" x14ac:dyDescent="0.25">
      <c r="A2464" s="1" t="str">
        <f>"90623"</f>
        <v>90623</v>
      </c>
      <c r="B2464" s="1" t="str">
        <f>"11244"</f>
        <v>11244</v>
      </c>
      <c r="C2464" s="1" t="str">
        <f>"LA PALMA"</f>
        <v>LA PALMA</v>
      </c>
      <c r="D2464" s="1" t="str">
        <f t="shared" si="179"/>
        <v>CA</v>
      </c>
      <c r="E2464" s="2">
        <v>0.98401522359657401</v>
      </c>
      <c r="F2464" s="2">
        <v>1</v>
      </c>
      <c r="G2464" s="2">
        <v>1</v>
      </c>
      <c r="H2464" s="2">
        <v>0.985383678440925</v>
      </c>
    </row>
    <row r="2465" spans="1:8" x14ac:dyDescent="0.25">
      <c r="A2465" s="1" t="str">
        <f>"90716"</f>
        <v>90716</v>
      </c>
      <c r="B2465" s="1" t="str">
        <f>"31084"</f>
        <v>31084</v>
      </c>
      <c r="C2465" s="1" t="str">
        <f>"HAWAIIAN GARDENS"</f>
        <v>HAWAIIAN GARDENS</v>
      </c>
      <c r="D2465" s="1" t="str">
        <f t="shared" si="179"/>
        <v>CA</v>
      </c>
      <c r="E2465" s="2">
        <v>1</v>
      </c>
      <c r="F2465" s="2">
        <v>1</v>
      </c>
      <c r="G2465" s="2">
        <v>1</v>
      </c>
      <c r="H2465" s="2">
        <v>1</v>
      </c>
    </row>
    <row r="2466" spans="1:8" x14ac:dyDescent="0.25">
      <c r="A2466" s="1" t="str">
        <f>"90404"</f>
        <v>90404</v>
      </c>
      <c r="B2466" s="1" t="str">
        <f>"31084"</f>
        <v>31084</v>
      </c>
      <c r="C2466" s="1" t="str">
        <f>"SANTA MONICA"</f>
        <v>SANTA MONICA</v>
      </c>
      <c r="D2466" s="1" t="str">
        <f t="shared" si="179"/>
        <v>CA</v>
      </c>
      <c r="E2466" s="2">
        <v>1</v>
      </c>
      <c r="F2466" s="2">
        <v>1</v>
      </c>
      <c r="G2466" s="2">
        <v>1</v>
      </c>
      <c r="H2466" s="2">
        <v>1</v>
      </c>
    </row>
    <row r="2467" spans="1:8" x14ac:dyDescent="0.25">
      <c r="A2467" s="1" t="str">
        <f>"94028"</f>
        <v>94028</v>
      </c>
      <c r="B2467" s="1" t="str">
        <f>"41884"</f>
        <v>41884</v>
      </c>
      <c r="C2467" s="1" t="str">
        <f>"PORTOLA VALLEY"</f>
        <v>PORTOLA VALLEY</v>
      </c>
      <c r="D2467" s="1" t="str">
        <f t="shared" si="179"/>
        <v>CA</v>
      </c>
      <c r="E2467" s="2">
        <v>1</v>
      </c>
      <c r="F2467" s="2">
        <v>1</v>
      </c>
      <c r="G2467" s="2">
        <v>1</v>
      </c>
      <c r="H2467" s="2">
        <v>1</v>
      </c>
    </row>
    <row r="2468" spans="1:8" x14ac:dyDescent="0.25">
      <c r="A2468" s="1" t="str">
        <f>"91773"</f>
        <v>91773</v>
      </c>
      <c r="B2468" s="1" t="str">
        <f>"31084"</f>
        <v>31084</v>
      </c>
      <c r="C2468" s="1" t="str">
        <f>"SAN DIMAS"</f>
        <v>SAN DIMAS</v>
      </c>
      <c r="D2468" s="1" t="str">
        <f t="shared" si="179"/>
        <v>CA</v>
      </c>
      <c r="E2468" s="2">
        <v>1</v>
      </c>
      <c r="F2468" s="2">
        <v>1</v>
      </c>
      <c r="G2468" s="2">
        <v>1</v>
      </c>
      <c r="H2468" s="2">
        <v>1</v>
      </c>
    </row>
    <row r="2469" spans="1:8" x14ac:dyDescent="0.25">
      <c r="A2469" s="1" t="str">
        <f>"91755"</f>
        <v>91755</v>
      </c>
      <c r="B2469" s="1" t="str">
        <f>"31084"</f>
        <v>31084</v>
      </c>
      <c r="C2469" s="1" t="str">
        <f>"MONTEREY PARK"</f>
        <v>MONTEREY PARK</v>
      </c>
      <c r="D2469" s="1" t="str">
        <f t="shared" si="179"/>
        <v>CA</v>
      </c>
      <c r="E2469" s="2">
        <v>1</v>
      </c>
      <c r="F2469" s="2">
        <v>1</v>
      </c>
      <c r="G2469" s="2">
        <v>1</v>
      </c>
      <c r="H2469" s="2">
        <v>1</v>
      </c>
    </row>
    <row r="2470" spans="1:8" x14ac:dyDescent="0.25">
      <c r="A2470" s="1" t="str">
        <f>"91789"</f>
        <v>91789</v>
      </c>
      <c r="B2470" s="1" t="str">
        <f>"31084"</f>
        <v>31084</v>
      </c>
      <c r="C2470" s="1" t="str">
        <f>"WALNUT"</f>
        <v>WALNUT</v>
      </c>
      <c r="D2470" s="1" t="str">
        <f t="shared" si="179"/>
        <v>CA</v>
      </c>
      <c r="E2470" s="2">
        <v>1</v>
      </c>
      <c r="F2470" s="2">
        <v>1</v>
      </c>
      <c r="G2470" s="2">
        <v>1</v>
      </c>
      <c r="H2470" s="2">
        <v>1</v>
      </c>
    </row>
    <row r="2471" spans="1:8" x14ac:dyDescent="0.25">
      <c r="A2471" s="1" t="str">
        <f>"92842"</f>
        <v>92842</v>
      </c>
      <c r="B2471" s="1" t="str">
        <f>"11244"</f>
        <v>11244</v>
      </c>
      <c r="C2471" s="1" t="str">
        <f>"GARDEN GROVE"</f>
        <v>GARDEN GROVE</v>
      </c>
      <c r="D2471" s="1" t="str">
        <f t="shared" si="179"/>
        <v>CA</v>
      </c>
      <c r="E2471" s="2">
        <v>1</v>
      </c>
      <c r="F2471" s="2">
        <v>1</v>
      </c>
      <c r="G2471" s="2">
        <v>1</v>
      </c>
      <c r="H2471" s="2">
        <v>1</v>
      </c>
    </row>
    <row r="2472" spans="1:8" x14ac:dyDescent="0.25">
      <c r="A2472" s="1" t="str">
        <f>"92886"</f>
        <v>92886</v>
      </c>
      <c r="B2472" s="1" t="str">
        <f>"11244"</f>
        <v>11244</v>
      </c>
      <c r="C2472" s="1" t="str">
        <f>"YORBA LINDA"</f>
        <v>YORBA LINDA</v>
      </c>
      <c r="D2472" s="1" t="str">
        <f t="shared" si="179"/>
        <v>CA</v>
      </c>
      <c r="E2472" s="2">
        <v>1</v>
      </c>
      <c r="F2472" s="2">
        <v>1</v>
      </c>
      <c r="G2472" s="2">
        <v>1</v>
      </c>
      <c r="H2472" s="2">
        <v>1</v>
      </c>
    </row>
    <row r="2473" spans="1:8" x14ac:dyDescent="0.25">
      <c r="A2473" s="1" t="str">
        <f>"92629"</f>
        <v>92629</v>
      </c>
      <c r="B2473" s="1" t="str">
        <f>"11244"</f>
        <v>11244</v>
      </c>
      <c r="C2473" s="1" t="str">
        <f>"DANA POINT"</f>
        <v>DANA POINT</v>
      </c>
      <c r="D2473" s="1" t="str">
        <f t="shared" si="179"/>
        <v>CA</v>
      </c>
      <c r="E2473" s="2">
        <v>1</v>
      </c>
      <c r="F2473" s="2">
        <v>1</v>
      </c>
      <c r="G2473" s="2">
        <v>1</v>
      </c>
      <c r="H2473" s="2">
        <v>1</v>
      </c>
    </row>
    <row r="2474" spans="1:8" x14ac:dyDescent="0.25">
      <c r="A2474" s="1" t="str">
        <f>"94114"</f>
        <v>94114</v>
      </c>
      <c r="B2474" s="1" t="str">
        <f>"41884"</f>
        <v>41884</v>
      </c>
      <c r="C2474" s="1" t="str">
        <f>"SAN FRANCISCO"</f>
        <v>SAN FRANCISCO</v>
      </c>
      <c r="D2474" s="1" t="str">
        <f t="shared" si="179"/>
        <v>CA</v>
      </c>
      <c r="E2474" s="2">
        <v>1</v>
      </c>
      <c r="F2474" s="2">
        <v>1</v>
      </c>
      <c r="G2474" s="2">
        <v>1</v>
      </c>
      <c r="H2474" s="2">
        <v>1</v>
      </c>
    </row>
    <row r="2475" spans="1:8" x14ac:dyDescent="0.25">
      <c r="A2475" s="1" t="str">
        <f>"94133"</f>
        <v>94133</v>
      </c>
      <c r="B2475" s="1" t="str">
        <f>"41884"</f>
        <v>41884</v>
      </c>
      <c r="C2475" s="1" t="str">
        <f>"SAN FRANCISCO"</f>
        <v>SAN FRANCISCO</v>
      </c>
      <c r="D2475" s="1" t="str">
        <f t="shared" si="179"/>
        <v>CA</v>
      </c>
      <c r="E2475" s="2">
        <v>1</v>
      </c>
      <c r="F2475" s="2">
        <v>1</v>
      </c>
      <c r="G2475" s="2">
        <v>1</v>
      </c>
      <c r="H2475" s="2">
        <v>1</v>
      </c>
    </row>
    <row r="2476" spans="1:8" x14ac:dyDescent="0.25">
      <c r="A2476" s="1" t="str">
        <f>"94124"</f>
        <v>94124</v>
      </c>
      <c r="B2476" s="1" t="str">
        <f>"41884"</f>
        <v>41884</v>
      </c>
      <c r="C2476" s="1" t="str">
        <f>"SAN FRANCISCO"</f>
        <v>SAN FRANCISCO</v>
      </c>
      <c r="D2476" s="1" t="str">
        <f t="shared" si="179"/>
        <v>CA</v>
      </c>
      <c r="E2476" s="2">
        <v>1</v>
      </c>
      <c r="F2476" s="2">
        <v>1</v>
      </c>
      <c r="G2476" s="2">
        <v>1</v>
      </c>
      <c r="H2476" s="2">
        <v>1</v>
      </c>
    </row>
    <row r="2477" spans="1:8" x14ac:dyDescent="0.25">
      <c r="A2477" s="1" t="str">
        <f>"98033"</f>
        <v>98033</v>
      </c>
      <c r="B2477" s="1" t="str">
        <f>"42644"</f>
        <v>42644</v>
      </c>
      <c r="C2477" s="1" t="str">
        <f>"KIRKLAND"</f>
        <v>KIRKLAND</v>
      </c>
      <c r="D2477" s="1" t="str">
        <f>"WA"</f>
        <v>WA</v>
      </c>
      <c r="E2477" s="2">
        <v>1</v>
      </c>
      <c r="F2477" s="2">
        <v>1</v>
      </c>
      <c r="G2477" s="2">
        <v>1</v>
      </c>
      <c r="H2477" s="2">
        <v>1</v>
      </c>
    </row>
    <row r="2478" spans="1:8" x14ac:dyDescent="0.25">
      <c r="A2478" s="1" t="str">
        <f>"98074"</f>
        <v>98074</v>
      </c>
      <c r="B2478" s="1" t="str">
        <f>"42644"</f>
        <v>42644</v>
      </c>
      <c r="C2478" s="1" t="str">
        <f>"SAMMAMISH"</f>
        <v>SAMMAMISH</v>
      </c>
      <c r="D2478" s="1" t="str">
        <f>"WA"</f>
        <v>WA</v>
      </c>
      <c r="E2478" s="2">
        <v>1</v>
      </c>
      <c r="F2478" s="2">
        <v>1</v>
      </c>
      <c r="G2478" s="2">
        <v>1</v>
      </c>
      <c r="H2478" s="2">
        <v>1</v>
      </c>
    </row>
    <row r="2479" spans="1:8" x14ac:dyDescent="0.25">
      <c r="A2479" s="1" t="str">
        <f>"98133"</f>
        <v>98133</v>
      </c>
      <c r="B2479" s="1" t="str">
        <f>"42644"</f>
        <v>42644</v>
      </c>
      <c r="C2479" s="1" t="str">
        <f>"SEATTLE"</f>
        <v>SEATTLE</v>
      </c>
      <c r="D2479" s="1" t="str">
        <f>"WA"</f>
        <v>WA</v>
      </c>
      <c r="E2479" s="2">
        <v>1</v>
      </c>
      <c r="F2479" s="2">
        <v>1</v>
      </c>
      <c r="G2479" s="2">
        <v>1</v>
      </c>
      <c r="H2479" s="2">
        <v>1</v>
      </c>
    </row>
    <row r="2480" spans="1:8" x14ac:dyDescent="0.25">
      <c r="A2480" s="1" t="str">
        <f>"98252"</f>
        <v>98252</v>
      </c>
      <c r="B2480" s="1" t="str">
        <f>"42644"</f>
        <v>42644</v>
      </c>
      <c r="C2480" s="1" t="str">
        <f>"GRANITE FALLS"</f>
        <v>GRANITE FALLS</v>
      </c>
      <c r="D2480" s="1" t="str">
        <f>"WA"</f>
        <v>WA</v>
      </c>
      <c r="E2480" s="2">
        <v>1</v>
      </c>
      <c r="F2480" s="2">
        <v>1</v>
      </c>
      <c r="G2480" s="2">
        <v>1</v>
      </c>
      <c r="H2480" s="2">
        <v>1</v>
      </c>
    </row>
    <row r="2481" spans="1:8" x14ac:dyDescent="0.25">
      <c r="A2481" s="1" t="str">
        <f>"01842"</f>
        <v>01842</v>
      </c>
      <c r="B2481" s="1" t="str">
        <f>"15764"</f>
        <v>15764</v>
      </c>
      <c r="C2481" s="1" t="str">
        <f>"LAWRENCE"</f>
        <v>LAWRENCE</v>
      </c>
      <c r="D2481" s="1" t="str">
        <f>"MA"</f>
        <v>MA</v>
      </c>
      <c r="E2481" s="2">
        <v>1</v>
      </c>
      <c r="F2481" s="2">
        <v>1</v>
      </c>
      <c r="G2481" s="2">
        <v>1</v>
      </c>
      <c r="H2481" s="2">
        <v>1</v>
      </c>
    </row>
    <row r="2482" spans="1:8" x14ac:dyDescent="0.25">
      <c r="A2482" s="1" t="str">
        <f>"02464"</f>
        <v>02464</v>
      </c>
      <c r="B2482" s="1" t="str">
        <f>"15764"</f>
        <v>15764</v>
      </c>
      <c r="C2482" s="1" t="str">
        <f>"NEWTON UPPER FALLS"</f>
        <v>NEWTON UPPER FALLS</v>
      </c>
      <c r="D2482" s="1" t="str">
        <f>"MA"</f>
        <v>MA</v>
      </c>
      <c r="E2482" s="2">
        <v>1</v>
      </c>
      <c r="F2482" s="2">
        <v>1</v>
      </c>
      <c r="G2482" s="2">
        <v>1</v>
      </c>
      <c r="H2482" s="2">
        <v>1</v>
      </c>
    </row>
    <row r="2483" spans="1:8" x14ac:dyDescent="0.25">
      <c r="A2483" s="1" t="str">
        <f>"02454"</f>
        <v>02454</v>
      </c>
      <c r="B2483" s="1" t="str">
        <f>"15764"</f>
        <v>15764</v>
      </c>
      <c r="C2483" s="1" t="str">
        <f>"WALTHAM"</f>
        <v>WALTHAM</v>
      </c>
      <c r="D2483" s="1" t="str">
        <f>"MA"</f>
        <v>MA</v>
      </c>
      <c r="E2483" s="2">
        <v>1</v>
      </c>
      <c r="F2483" s="2">
        <v>1</v>
      </c>
      <c r="G2483" s="2">
        <v>1</v>
      </c>
      <c r="H2483" s="2">
        <v>1</v>
      </c>
    </row>
    <row r="2484" spans="1:8" x14ac:dyDescent="0.25">
      <c r="A2484" s="1" t="str">
        <f>"07934"</f>
        <v>07934</v>
      </c>
      <c r="B2484" s="1" t="str">
        <f>"35084"</f>
        <v>35084</v>
      </c>
      <c r="C2484" s="1" t="str">
        <f>"GLADSTONE"</f>
        <v>GLADSTONE</v>
      </c>
      <c r="D2484" s="1" t="str">
        <f>"NJ"</f>
        <v>NJ</v>
      </c>
      <c r="E2484" s="2">
        <v>7.3394495412843997E-3</v>
      </c>
      <c r="F2484" s="2">
        <v>0</v>
      </c>
      <c r="G2484" s="2">
        <v>0</v>
      </c>
      <c r="H2484" s="2">
        <v>6.54664484451718E-3</v>
      </c>
    </row>
    <row r="2485" spans="1:8" x14ac:dyDescent="0.25">
      <c r="A2485" s="1" t="str">
        <f>"07934"</f>
        <v>07934</v>
      </c>
      <c r="B2485" s="1" t="str">
        <f>"35154"</f>
        <v>35154</v>
      </c>
      <c r="C2485" s="1" t="str">
        <f>"GLADSTONE"</f>
        <v>GLADSTONE</v>
      </c>
      <c r="D2485" s="1" t="str">
        <f>"NJ"</f>
        <v>NJ</v>
      </c>
      <c r="E2485" s="2">
        <v>0.99266055045871504</v>
      </c>
      <c r="F2485" s="2">
        <v>1</v>
      </c>
      <c r="G2485" s="2">
        <v>1</v>
      </c>
      <c r="H2485" s="2">
        <v>0.99345335515548205</v>
      </c>
    </row>
    <row r="2486" spans="1:8" x14ac:dyDescent="0.25">
      <c r="A2486" s="1" t="str">
        <f>"08903"</f>
        <v>08903</v>
      </c>
      <c r="B2486" s="1" t="str">
        <f>"35154"</f>
        <v>35154</v>
      </c>
      <c r="C2486" s="1" t="str">
        <f>"NEW BRUNSWICK"</f>
        <v>NEW BRUNSWICK</v>
      </c>
      <c r="D2486" s="1" t="str">
        <f>"NJ"</f>
        <v>NJ</v>
      </c>
      <c r="E2486" s="2">
        <v>1</v>
      </c>
      <c r="F2486" s="2">
        <v>1</v>
      </c>
      <c r="G2486" s="2">
        <v>1</v>
      </c>
      <c r="H2486" s="2">
        <v>1</v>
      </c>
    </row>
    <row r="2487" spans="1:8" x14ac:dyDescent="0.25">
      <c r="A2487" s="1" t="str">
        <f>"10517"</f>
        <v>10517</v>
      </c>
      <c r="B2487" s="1" t="str">
        <f>"35614"</f>
        <v>35614</v>
      </c>
      <c r="C2487" s="1" t="str">
        <f>"CROMPOND"</f>
        <v>CROMPOND</v>
      </c>
      <c r="D2487" s="1" t="str">
        <f>"NY"</f>
        <v>NY</v>
      </c>
      <c r="E2487" s="2">
        <v>1</v>
      </c>
      <c r="F2487" s="2">
        <v>1</v>
      </c>
      <c r="G2487" s="2">
        <v>1</v>
      </c>
      <c r="H2487" s="2">
        <v>1</v>
      </c>
    </row>
    <row r="2488" spans="1:8" x14ac:dyDescent="0.25">
      <c r="A2488" s="1" t="str">
        <f>"12582"</f>
        <v>12582</v>
      </c>
      <c r="B2488" s="1" t="str">
        <f>"35614"</f>
        <v>35614</v>
      </c>
      <c r="C2488" s="1" t="str">
        <f>"STORMVILLE"</f>
        <v>STORMVILLE</v>
      </c>
      <c r="D2488" s="1" t="str">
        <f>"NY"</f>
        <v>NY</v>
      </c>
      <c r="E2488" s="2">
        <v>1</v>
      </c>
      <c r="F2488" s="2">
        <v>0</v>
      </c>
      <c r="G2488" s="2">
        <v>0</v>
      </c>
      <c r="H2488" s="2">
        <v>1</v>
      </c>
    </row>
    <row r="2489" spans="1:8" x14ac:dyDescent="0.25">
      <c r="A2489" s="1" t="str">
        <f>"21787"</f>
        <v>21787</v>
      </c>
      <c r="B2489" s="1" t="str">
        <f>"23224"</f>
        <v>23224</v>
      </c>
      <c r="C2489" s="1" t="str">
        <f>"TANEYTOWN"</f>
        <v>TANEYTOWN</v>
      </c>
      <c r="D2489" s="1" t="str">
        <f>"MD"</f>
        <v>MD</v>
      </c>
      <c r="E2489" s="2">
        <v>1</v>
      </c>
      <c r="F2489" s="2">
        <v>1</v>
      </c>
      <c r="G2489" s="2">
        <v>1</v>
      </c>
      <c r="H2489" s="2">
        <v>1</v>
      </c>
    </row>
    <row r="2490" spans="1:8" x14ac:dyDescent="0.25">
      <c r="A2490" s="1" t="str">
        <f>"33265"</f>
        <v>33265</v>
      </c>
      <c r="B2490" s="1" t="str">
        <f>"33124"</f>
        <v>33124</v>
      </c>
      <c r="C2490" s="1" t="str">
        <f>"MIAMI"</f>
        <v>MIAMI</v>
      </c>
      <c r="D2490" s="1" t="str">
        <f>"FL"</f>
        <v>FL</v>
      </c>
      <c r="E2490" s="2">
        <v>1</v>
      </c>
      <c r="F2490" s="2">
        <v>1</v>
      </c>
      <c r="G2490" s="2">
        <v>1</v>
      </c>
      <c r="H2490" s="2">
        <v>1</v>
      </c>
    </row>
    <row r="2491" spans="1:8" x14ac:dyDescent="0.25">
      <c r="A2491" s="1" t="str">
        <f>"60109"</f>
        <v>60109</v>
      </c>
      <c r="B2491" s="1" t="str">
        <f>"20994"</f>
        <v>20994</v>
      </c>
      <c r="C2491" s="1" t="str">
        <f>"BURLINGTON"</f>
        <v>BURLINGTON</v>
      </c>
      <c r="D2491" s="1" t="str">
        <f>"IL"</f>
        <v>IL</v>
      </c>
      <c r="E2491" s="2">
        <v>1</v>
      </c>
      <c r="F2491" s="2">
        <v>1</v>
      </c>
      <c r="G2491" s="2">
        <v>1</v>
      </c>
      <c r="H2491" s="2">
        <v>1</v>
      </c>
    </row>
    <row r="2492" spans="1:8" x14ac:dyDescent="0.25">
      <c r="A2492" s="1" t="str">
        <f>"11739"</f>
        <v>11739</v>
      </c>
      <c r="B2492" s="1" t="str">
        <f>"35004"</f>
        <v>35004</v>
      </c>
      <c r="C2492" s="1" t="str">
        <f>"GREAT RIVER"</f>
        <v>GREAT RIVER</v>
      </c>
      <c r="D2492" s="1" t="str">
        <f>"NY"</f>
        <v>NY</v>
      </c>
      <c r="E2492" s="2">
        <v>1</v>
      </c>
      <c r="F2492" s="2">
        <v>1</v>
      </c>
      <c r="G2492" s="2">
        <v>1</v>
      </c>
      <c r="H2492" s="2">
        <v>1</v>
      </c>
    </row>
    <row r="2493" spans="1:8" x14ac:dyDescent="0.25">
      <c r="A2493" s="1" t="str">
        <f>"10551"</f>
        <v>10551</v>
      </c>
      <c r="B2493" s="1" t="str">
        <f>"35614"</f>
        <v>35614</v>
      </c>
      <c r="C2493" s="1" t="str">
        <f>"MOUNT VERNON"</f>
        <v>MOUNT VERNON</v>
      </c>
      <c r="D2493" s="1" t="str">
        <f>"NY"</f>
        <v>NY</v>
      </c>
      <c r="E2493" s="2">
        <v>1</v>
      </c>
      <c r="F2493" s="2">
        <v>1</v>
      </c>
      <c r="G2493" s="2">
        <v>1</v>
      </c>
      <c r="H2493" s="2">
        <v>1</v>
      </c>
    </row>
    <row r="2494" spans="1:8" x14ac:dyDescent="0.25">
      <c r="A2494" s="1" t="str">
        <f>"10986"</f>
        <v>10986</v>
      </c>
      <c r="B2494" s="1" t="str">
        <f>"35614"</f>
        <v>35614</v>
      </c>
      <c r="C2494" s="1" t="str">
        <f>"TOMKINS COVE"</f>
        <v>TOMKINS COVE</v>
      </c>
      <c r="D2494" s="1" t="str">
        <f>"NY"</f>
        <v>NY</v>
      </c>
      <c r="E2494" s="2">
        <v>1</v>
      </c>
      <c r="F2494" s="2">
        <v>1</v>
      </c>
      <c r="G2494" s="2">
        <v>1</v>
      </c>
      <c r="H2494" s="2">
        <v>1</v>
      </c>
    </row>
    <row r="2495" spans="1:8" x14ac:dyDescent="0.25">
      <c r="A2495" s="1" t="str">
        <f>"20848"</f>
        <v>20848</v>
      </c>
      <c r="B2495" s="1" t="str">
        <f>"23224"</f>
        <v>23224</v>
      </c>
      <c r="C2495" s="1" t="str">
        <f>"ROCKVILLE"</f>
        <v>ROCKVILLE</v>
      </c>
      <c r="D2495" s="1" t="str">
        <f>"MD"</f>
        <v>MD</v>
      </c>
      <c r="E2495" s="2">
        <v>1</v>
      </c>
      <c r="F2495" s="2">
        <v>1</v>
      </c>
      <c r="G2495" s="2">
        <v>1</v>
      </c>
      <c r="H2495" s="2">
        <v>1</v>
      </c>
    </row>
    <row r="2496" spans="1:8" x14ac:dyDescent="0.25">
      <c r="A2496" s="1" t="str">
        <f>"48376"</f>
        <v>48376</v>
      </c>
      <c r="B2496" s="1" t="str">
        <f>"47664"</f>
        <v>47664</v>
      </c>
      <c r="C2496" s="1" t="str">
        <f>"NOVI"</f>
        <v>NOVI</v>
      </c>
      <c r="D2496" s="1" t="str">
        <f>"MI"</f>
        <v>MI</v>
      </c>
      <c r="E2496" s="2">
        <v>1</v>
      </c>
      <c r="F2496" s="2">
        <v>1</v>
      </c>
      <c r="G2496" s="2">
        <v>1</v>
      </c>
      <c r="H2496" s="2">
        <v>1</v>
      </c>
    </row>
    <row r="2497" spans="1:8" x14ac:dyDescent="0.25">
      <c r="A2497" s="1" t="str">
        <f>"90251"</f>
        <v>90251</v>
      </c>
      <c r="B2497" s="1" t="str">
        <f>"31084"</f>
        <v>31084</v>
      </c>
      <c r="C2497" s="1" t="str">
        <f>"HAWTHORNE"</f>
        <v>HAWTHORNE</v>
      </c>
      <c r="D2497" s="1" t="str">
        <f>"CA"</f>
        <v>CA</v>
      </c>
      <c r="E2497" s="2">
        <v>1</v>
      </c>
      <c r="F2497" s="2">
        <v>1</v>
      </c>
      <c r="G2497" s="2">
        <v>1</v>
      </c>
      <c r="H2497" s="2">
        <v>1</v>
      </c>
    </row>
    <row r="2498" spans="1:8" x14ac:dyDescent="0.25">
      <c r="A2498" s="1" t="str">
        <f>"02065"</f>
        <v>02065</v>
      </c>
      <c r="B2498" s="1" t="str">
        <f>"14454"</f>
        <v>14454</v>
      </c>
      <c r="C2498" s="1" t="str">
        <f>"OCEAN BLUFF"</f>
        <v>OCEAN BLUFF</v>
      </c>
      <c r="D2498" s="1" t="str">
        <f>"MA"</f>
        <v>MA</v>
      </c>
      <c r="E2498" s="2">
        <v>1</v>
      </c>
      <c r="F2498" s="2">
        <v>1</v>
      </c>
      <c r="G2498" s="2">
        <v>1</v>
      </c>
      <c r="H2498" s="2">
        <v>1</v>
      </c>
    </row>
    <row r="2499" spans="1:8" x14ac:dyDescent="0.25">
      <c r="A2499" s="1" t="str">
        <f>"10313"</f>
        <v>10313</v>
      </c>
      <c r="B2499" s="1" t="str">
        <f>"35614"</f>
        <v>35614</v>
      </c>
      <c r="C2499" s="1" t="str">
        <f>"STATEN ISLAND"</f>
        <v>STATEN ISLAND</v>
      </c>
      <c r="D2499" s="1" t="str">
        <f>"NY"</f>
        <v>NY</v>
      </c>
      <c r="E2499" s="2">
        <v>1</v>
      </c>
      <c r="F2499" s="2">
        <v>1</v>
      </c>
      <c r="G2499" s="2">
        <v>1</v>
      </c>
      <c r="H2499" s="2">
        <v>1</v>
      </c>
    </row>
    <row r="2500" spans="1:8" x14ac:dyDescent="0.25">
      <c r="A2500" s="1" t="str">
        <f>"46325"</f>
        <v>46325</v>
      </c>
      <c r="B2500" s="1" t="str">
        <f>"23844"</f>
        <v>23844</v>
      </c>
      <c r="C2500" s="1" t="str">
        <f>"HAMMOND"</f>
        <v>HAMMOND</v>
      </c>
      <c r="D2500" s="1" t="str">
        <f>"IN"</f>
        <v>IN</v>
      </c>
      <c r="E2500" s="2">
        <v>1</v>
      </c>
      <c r="F2500" s="2">
        <v>1</v>
      </c>
      <c r="G2500" s="2">
        <v>1</v>
      </c>
      <c r="H2500" s="2">
        <v>1</v>
      </c>
    </row>
    <row r="2501" spans="1:8" x14ac:dyDescent="0.25">
      <c r="A2501" s="1" t="str">
        <f>"90840"</f>
        <v>90840</v>
      </c>
      <c r="B2501" s="1" t="str">
        <f>"31084"</f>
        <v>31084</v>
      </c>
      <c r="C2501" s="1" t="str">
        <f>"LONG BEACH"</f>
        <v>LONG BEACH</v>
      </c>
      <c r="D2501" s="1" t="str">
        <f>"CA"</f>
        <v>CA</v>
      </c>
      <c r="E2501" s="2">
        <v>0</v>
      </c>
      <c r="F2501" s="2">
        <v>1</v>
      </c>
      <c r="G2501" s="2">
        <v>1</v>
      </c>
      <c r="H2501" s="2">
        <v>1</v>
      </c>
    </row>
    <row r="2502" spans="1:8" x14ac:dyDescent="0.25">
      <c r="A2502" s="1" t="str">
        <f>"98558"</f>
        <v>98558</v>
      </c>
      <c r="B2502" s="1" t="str">
        <f>"45104"</f>
        <v>45104</v>
      </c>
      <c r="C2502" s="1" t="str">
        <f>"MCKENNA"</f>
        <v>MCKENNA</v>
      </c>
      <c r="D2502" s="1" t="str">
        <f>"WA"</f>
        <v>WA</v>
      </c>
      <c r="E2502" s="2">
        <v>1</v>
      </c>
      <c r="F2502" s="2">
        <v>1</v>
      </c>
      <c r="G2502" s="2">
        <v>1</v>
      </c>
      <c r="H2502" s="2">
        <v>1</v>
      </c>
    </row>
    <row r="2503" spans="1:8" x14ac:dyDescent="0.25">
      <c r="A2503" s="1" t="str">
        <f>"20090"</f>
        <v>20090</v>
      </c>
      <c r="B2503" s="1" t="str">
        <f>"47894"</f>
        <v>47894</v>
      </c>
      <c r="C2503" s="1" t="str">
        <f>"WASHINGTON"</f>
        <v>WASHINGTON</v>
      </c>
      <c r="D2503" s="1" t="str">
        <f>"DC"</f>
        <v>DC</v>
      </c>
      <c r="E2503" s="2">
        <v>1</v>
      </c>
      <c r="F2503" s="2">
        <v>1</v>
      </c>
      <c r="G2503" s="2">
        <v>1</v>
      </c>
      <c r="H2503" s="2">
        <v>1</v>
      </c>
    </row>
    <row r="2504" spans="1:8" x14ac:dyDescent="0.25">
      <c r="A2504" s="1" t="str">
        <f>"20889"</f>
        <v>20889</v>
      </c>
      <c r="B2504" s="1" t="str">
        <f>"23224"</f>
        <v>23224</v>
      </c>
      <c r="C2504" s="1" t="str">
        <f>"BETHESDA"</f>
        <v>BETHESDA</v>
      </c>
      <c r="D2504" s="1" t="str">
        <f>"MD"</f>
        <v>MD</v>
      </c>
      <c r="E2504" s="2">
        <v>0</v>
      </c>
      <c r="F2504" s="2">
        <v>1</v>
      </c>
      <c r="G2504" s="2">
        <v>1</v>
      </c>
      <c r="H2504" s="2">
        <v>1</v>
      </c>
    </row>
    <row r="2505" spans="1:8" x14ac:dyDescent="0.25">
      <c r="A2505" s="1" t="str">
        <f>"20177"</f>
        <v>20177</v>
      </c>
      <c r="B2505" s="1" t="str">
        <f>"47894"</f>
        <v>47894</v>
      </c>
      <c r="C2505" s="1" t="str">
        <f>"LEESBURG"</f>
        <v>LEESBURG</v>
      </c>
      <c r="D2505" s="1" t="str">
        <f>"VA"</f>
        <v>VA</v>
      </c>
      <c r="E2505" s="2">
        <v>1</v>
      </c>
      <c r="F2505" s="2">
        <v>1</v>
      </c>
      <c r="G2505" s="2">
        <v>1</v>
      </c>
      <c r="H2505" s="2">
        <v>1</v>
      </c>
    </row>
    <row r="2506" spans="1:8" x14ac:dyDescent="0.25">
      <c r="A2506" s="1" t="str">
        <f>"98129"</f>
        <v>98129</v>
      </c>
      <c r="B2506" s="1" t="str">
        <f>"42644"</f>
        <v>42644</v>
      </c>
      <c r="C2506" s="1" t="str">
        <f>"SEATTLE"</f>
        <v>SEATTLE</v>
      </c>
      <c r="D2506" s="1" t="str">
        <f>"WA"</f>
        <v>WA</v>
      </c>
      <c r="E2506" s="2">
        <v>0</v>
      </c>
      <c r="F2506" s="2">
        <v>1</v>
      </c>
      <c r="G2506" s="2">
        <v>0</v>
      </c>
      <c r="H2506" s="2">
        <v>1</v>
      </c>
    </row>
    <row r="2507" spans="1:8" x14ac:dyDescent="0.25">
      <c r="A2507" s="1" t="str">
        <f>"92825"</f>
        <v>92825</v>
      </c>
      <c r="B2507" s="1" t="str">
        <f>"11244"</f>
        <v>11244</v>
      </c>
      <c r="C2507" s="1" t="str">
        <f>"ANAHEIM"</f>
        <v>ANAHEIM</v>
      </c>
      <c r="D2507" s="1" t="str">
        <f>"CA"</f>
        <v>CA</v>
      </c>
      <c r="E2507" s="2">
        <v>1</v>
      </c>
      <c r="F2507" s="2">
        <v>1</v>
      </c>
      <c r="G2507" s="2">
        <v>1</v>
      </c>
      <c r="H2507" s="2">
        <v>1</v>
      </c>
    </row>
    <row r="2508" spans="1:8" x14ac:dyDescent="0.25">
      <c r="A2508" s="1" t="str">
        <f>"03103"</f>
        <v>03103</v>
      </c>
      <c r="B2508" s="1" t="str">
        <f>"40484"</f>
        <v>40484</v>
      </c>
      <c r="C2508" s="1" t="str">
        <f>"MANCHESTER"</f>
        <v>MANCHESTER</v>
      </c>
      <c r="D2508" s="1" t="str">
        <f>"NH"</f>
        <v>NH</v>
      </c>
      <c r="E2508" s="2">
        <v>1</v>
      </c>
      <c r="F2508" s="2">
        <v>1</v>
      </c>
      <c r="G2508" s="2">
        <v>1</v>
      </c>
      <c r="H2508" s="2">
        <v>1</v>
      </c>
    </row>
    <row r="2509" spans="1:8" x14ac:dyDescent="0.25">
      <c r="A2509" s="1" t="str">
        <f>"20221"</f>
        <v>20221</v>
      </c>
      <c r="B2509" s="1" t="str">
        <f>"47894"</f>
        <v>47894</v>
      </c>
      <c r="C2509" s="1" t="str">
        <f>"WASHINGTON"</f>
        <v>WASHINGTON</v>
      </c>
      <c r="D2509" s="1" t="str">
        <f>"DC"</f>
        <v>DC</v>
      </c>
      <c r="E2509" s="2">
        <v>0</v>
      </c>
      <c r="F2509" s="2">
        <v>1</v>
      </c>
      <c r="G2509" s="2">
        <v>0</v>
      </c>
      <c r="H2509" s="2">
        <v>1</v>
      </c>
    </row>
    <row r="2510" spans="1:8" x14ac:dyDescent="0.25">
      <c r="A2510" s="1" t="str">
        <f>"20557"</f>
        <v>20557</v>
      </c>
      <c r="B2510" s="1" t="str">
        <f>"47894"</f>
        <v>47894</v>
      </c>
      <c r="C2510" s="1" t="str">
        <f>"WASHINGTON"</f>
        <v>WASHINGTON</v>
      </c>
      <c r="D2510" s="1" t="str">
        <f>"DC"</f>
        <v>DC</v>
      </c>
      <c r="E2510" s="2">
        <v>0</v>
      </c>
      <c r="F2510" s="2">
        <v>1</v>
      </c>
      <c r="G2510" s="2">
        <v>1</v>
      </c>
      <c r="H2510" s="2">
        <v>1</v>
      </c>
    </row>
    <row r="2511" spans="1:8" x14ac:dyDescent="0.25">
      <c r="A2511" s="1" t="str">
        <f>"10103"</f>
        <v>10103</v>
      </c>
      <c r="B2511" s="1" t="str">
        <f>"35614"</f>
        <v>35614</v>
      </c>
      <c r="C2511" s="1" t="str">
        <f>"NEW YORK"</f>
        <v>NEW YORK</v>
      </c>
      <c r="D2511" s="1" t="str">
        <f>"NY"</f>
        <v>NY</v>
      </c>
      <c r="E2511" s="2">
        <v>0</v>
      </c>
      <c r="F2511" s="2">
        <v>1</v>
      </c>
      <c r="G2511" s="2">
        <v>1</v>
      </c>
      <c r="H2511" s="2">
        <v>1</v>
      </c>
    </row>
    <row r="2512" spans="1:8" x14ac:dyDescent="0.25">
      <c r="A2512" s="1" t="str">
        <f>"46374"</f>
        <v>46374</v>
      </c>
      <c r="B2512" s="1" t="str">
        <f>"23844"</f>
        <v>23844</v>
      </c>
      <c r="C2512" s="1" t="str">
        <f>"SAN PIERRE"</f>
        <v>SAN PIERRE</v>
      </c>
      <c r="D2512" s="1" t="str">
        <f>"IN"</f>
        <v>IN</v>
      </c>
      <c r="E2512" s="2">
        <v>1</v>
      </c>
      <c r="F2512" s="2">
        <v>0</v>
      </c>
      <c r="G2512" s="2">
        <v>0</v>
      </c>
      <c r="H2512" s="2">
        <v>1</v>
      </c>
    </row>
    <row r="2513" spans="1:8" x14ac:dyDescent="0.25">
      <c r="A2513" s="1" t="str">
        <f>"20862"</f>
        <v>20862</v>
      </c>
      <c r="B2513" s="1" t="str">
        <f>"23224"</f>
        <v>23224</v>
      </c>
      <c r="C2513" s="1" t="str">
        <f>"BRINKLOW"</f>
        <v>BRINKLOW</v>
      </c>
      <c r="D2513" s="1" t="str">
        <f>"MD"</f>
        <v>MD</v>
      </c>
      <c r="E2513" s="2">
        <v>1</v>
      </c>
      <c r="F2513" s="2">
        <v>1</v>
      </c>
      <c r="G2513" s="2">
        <v>1</v>
      </c>
      <c r="H2513" s="2">
        <v>1</v>
      </c>
    </row>
    <row r="2514" spans="1:8" x14ac:dyDescent="0.25">
      <c r="A2514" s="1" t="str">
        <f>"60037"</f>
        <v>60037</v>
      </c>
      <c r="B2514" s="1" t="str">
        <f>"29404"</f>
        <v>29404</v>
      </c>
      <c r="C2514" s="1" t="str">
        <f>"FORT SHERIDAN"</f>
        <v>FORT SHERIDAN</v>
      </c>
      <c r="D2514" s="1" t="str">
        <f>"IL"</f>
        <v>IL</v>
      </c>
      <c r="E2514" s="2">
        <v>0</v>
      </c>
      <c r="F2514" s="2">
        <v>1</v>
      </c>
      <c r="G2514" s="2">
        <v>1</v>
      </c>
      <c r="H2514" s="2">
        <v>1</v>
      </c>
    </row>
    <row r="2515" spans="1:8" x14ac:dyDescent="0.25">
      <c r="A2515" s="1" t="str">
        <f>"94557"</f>
        <v>94557</v>
      </c>
      <c r="B2515" s="1" t="str">
        <f>"36084"</f>
        <v>36084</v>
      </c>
      <c r="C2515" s="1" t="str">
        <f>"HAYWARD"</f>
        <v>HAYWARD</v>
      </c>
      <c r="D2515" s="1" t="str">
        <f>"CA"</f>
        <v>CA</v>
      </c>
      <c r="E2515" s="2">
        <v>1</v>
      </c>
      <c r="F2515" s="2">
        <v>1</v>
      </c>
      <c r="G2515" s="2">
        <v>1</v>
      </c>
      <c r="H2515" s="2">
        <v>1</v>
      </c>
    </row>
    <row r="2516" spans="1:8" x14ac:dyDescent="0.25">
      <c r="A2516" s="1" t="str">
        <f>"08555"</f>
        <v>08555</v>
      </c>
      <c r="B2516" s="1" t="str">
        <f>"35154"</f>
        <v>35154</v>
      </c>
      <c r="C2516" s="1" t="str">
        <f>"ROOSEVELT"</f>
        <v>ROOSEVELT</v>
      </c>
      <c r="D2516" s="1" t="str">
        <f>"NJ"</f>
        <v>NJ</v>
      </c>
      <c r="E2516" s="2">
        <v>1</v>
      </c>
      <c r="F2516" s="2">
        <v>0</v>
      </c>
      <c r="G2516" s="2">
        <v>1</v>
      </c>
      <c r="H2516" s="2">
        <v>1</v>
      </c>
    </row>
    <row r="2517" spans="1:8" x14ac:dyDescent="0.25">
      <c r="A2517" s="1" t="str">
        <f>"20398"</f>
        <v>20398</v>
      </c>
      <c r="B2517" s="1" t="str">
        <f>"47894"</f>
        <v>47894</v>
      </c>
      <c r="C2517" s="1" t="str">
        <f>"WASHINGTON NAVY YARD"</f>
        <v>WASHINGTON NAVY YARD</v>
      </c>
      <c r="D2517" s="1" t="str">
        <f>"DC"</f>
        <v>DC</v>
      </c>
      <c r="E2517" s="2">
        <v>0</v>
      </c>
      <c r="F2517" s="2">
        <v>1</v>
      </c>
      <c r="G2517" s="2">
        <v>1</v>
      </c>
      <c r="H2517" s="2">
        <v>1</v>
      </c>
    </row>
    <row r="2518" spans="1:8" x14ac:dyDescent="0.25">
      <c r="A2518" s="1" t="str">
        <f>"94575"</f>
        <v>94575</v>
      </c>
      <c r="B2518" s="1" t="str">
        <f>"36084"</f>
        <v>36084</v>
      </c>
      <c r="C2518" s="1" t="str">
        <f>"MORAGA"</f>
        <v>MORAGA</v>
      </c>
      <c r="D2518" s="1" t="str">
        <f>"CA"</f>
        <v>CA</v>
      </c>
      <c r="E2518" s="2">
        <v>0</v>
      </c>
      <c r="F2518" s="2">
        <v>1</v>
      </c>
      <c r="G2518" s="2">
        <v>0</v>
      </c>
      <c r="H2518" s="2">
        <v>1</v>
      </c>
    </row>
    <row r="2519" spans="1:8" x14ac:dyDescent="0.25">
      <c r="A2519" s="1" t="str">
        <f>"20140"</f>
        <v>20140</v>
      </c>
      <c r="B2519" s="1" t="str">
        <f>"47894"</f>
        <v>47894</v>
      </c>
      <c r="C2519" s="1" t="str">
        <f>"RECTORTOWN"</f>
        <v>RECTORTOWN</v>
      </c>
      <c r="D2519" s="1" t="str">
        <f>"VA"</f>
        <v>VA</v>
      </c>
      <c r="E2519" s="2">
        <v>0</v>
      </c>
      <c r="F2519" s="2">
        <v>1</v>
      </c>
      <c r="G2519" s="2">
        <v>0</v>
      </c>
      <c r="H2519" s="2">
        <v>1</v>
      </c>
    </row>
    <row r="2520" spans="1:8" x14ac:dyDescent="0.25">
      <c r="A2520" s="1" t="str">
        <f>"01503"</f>
        <v>01503</v>
      </c>
      <c r="B2520" s="1" t="str">
        <f>"15764"</f>
        <v>15764</v>
      </c>
      <c r="C2520" s="1" t="str">
        <f>"BERLIN"</f>
        <v>BERLIN</v>
      </c>
      <c r="D2520" s="1" t="str">
        <f>"MA"</f>
        <v>MA</v>
      </c>
      <c r="E2520" s="2">
        <v>0</v>
      </c>
      <c r="F2520" s="2">
        <v>1</v>
      </c>
      <c r="G2520" s="2">
        <v>0</v>
      </c>
      <c r="H2520" s="2">
        <v>1</v>
      </c>
    </row>
    <row r="2521" spans="1:8" x14ac:dyDescent="0.25">
      <c r="A2521" s="1" t="str">
        <f>"21713"</f>
        <v>21713</v>
      </c>
      <c r="B2521" s="1" t="str">
        <f>"23224"</f>
        <v>23224</v>
      </c>
      <c r="C2521" s="1" t="str">
        <f>"BOONSBORO"</f>
        <v>BOONSBORO</v>
      </c>
      <c r="D2521" s="1" t="str">
        <f>"MD"</f>
        <v>MD</v>
      </c>
      <c r="E2521" s="2">
        <v>1</v>
      </c>
      <c r="F2521" s="2">
        <v>0</v>
      </c>
      <c r="G2521" s="2">
        <v>0</v>
      </c>
      <c r="H2521" s="2">
        <v>1</v>
      </c>
    </row>
    <row r="2522" spans="1:8" x14ac:dyDescent="0.25">
      <c r="A2522" s="1" t="str">
        <f>"91771"</f>
        <v>91771</v>
      </c>
      <c r="B2522" s="1" t="str">
        <f>"31084"</f>
        <v>31084</v>
      </c>
      <c r="C2522" s="1" t="str">
        <f>"ROSEMEAD"</f>
        <v>ROSEMEAD</v>
      </c>
      <c r="D2522" s="1" t="str">
        <f>"CA"</f>
        <v>CA</v>
      </c>
      <c r="E2522" s="2">
        <v>0</v>
      </c>
      <c r="F2522" s="2">
        <v>1</v>
      </c>
      <c r="G2522" s="2">
        <v>0</v>
      </c>
      <c r="H2522" s="2">
        <v>1</v>
      </c>
    </row>
    <row r="2523" spans="1:8" x14ac:dyDescent="0.25">
      <c r="A2523" s="1" t="str">
        <f>"46379"</f>
        <v>46379</v>
      </c>
      <c r="B2523" s="1" t="str">
        <f>"23844"</f>
        <v>23844</v>
      </c>
      <c r="C2523" s="1" t="str">
        <f>"SUMAVA RESORTS"</f>
        <v>SUMAVA RESORTS</v>
      </c>
      <c r="D2523" s="1" t="str">
        <f>"IN"</f>
        <v>IN</v>
      </c>
      <c r="E2523" s="2">
        <v>0</v>
      </c>
      <c r="F2523" s="2">
        <v>0</v>
      </c>
      <c r="G2523" s="2">
        <v>1</v>
      </c>
      <c r="H2523" s="2">
        <v>1</v>
      </c>
    </row>
    <row r="2524" spans="1:8" x14ac:dyDescent="0.25">
      <c r="A2524" s="1" t="str">
        <f>"20242"</f>
        <v>20242</v>
      </c>
      <c r="B2524" s="1" t="str">
        <f>"47894"</f>
        <v>47894</v>
      </c>
      <c r="C2524" s="1" t="str">
        <f>"WASHINGTON"</f>
        <v>WASHINGTON</v>
      </c>
      <c r="D2524" s="1" t="str">
        <f>"DC"</f>
        <v>DC</v>
      </c>
      <c r="E2524" s="2">
        <v>0</v>
      </c>
      <c r="F2524" s="2">
        <v>1</v>
      </c>
      <c r="G2524" s="2">
        <v>0</v>
      </c>
      <c r="H2524" s="2">
        <v>1</v>
      </c>
    </row>
    <row r="2525" spans="1:8" x14ac:dyDescent="0.25">
      <c r="A2525" s="1" t="str">
        <f>"02337"</f>
        <v>02337</v>
      </c>
      <c r="B2525" s="1" t="str">
        <f>"14454"</f>
        <v>14454</v>
      </c>
      <c r="C2525" s="1" t="str">
        <f>"ELMWOOD"</f>
        <v>ELMWOOD</v>
      </c>
      <c r="D2525" s="1" t="str">
        <f>"MA"</f>
        <v>MA</v>
      </c>
      <c r="E2525" s="2">
        <v>0</v>
      </c>
      <c r="F2525" s="2">
        <v>0</v>
      </c>
      <c r="G2525" s="2">
        <v>1</v>
      </c>
      <c r="H2525" s="2">
        <v>1</v>
      </c>
    </row>
    <row r="2526" spans="1:8" x14ac:dyDescent="0.25">
      <c r="A2526" s="1" t="str">
        <f>"19430"</f>
        <v>19430</v>
      </c>
      <c r="B2526" s="1" t="str">
        <f>"33874"</f>
        <v>33874</v>
      </c>
      <c r="C2526" s="1" t="str">
        <f>"CREAMERY"</f>
        <v>CREAMERY</v>
      </c>
      <c r="D2526" s="1" t="str">
        <f>"PA"</f>
        <v>PA</v>
      </c>
      <c r="E2526" s="2">
        <v>0</v>
      </c>
      <c r="F2526" s="2">
        <v>1</v>
      </c>
      <c r="G2526" s="2">
        <v>0</v>
      </c>
      <c r="H2526" s="2">
        <v>1</v>
      </c>
    </row>
    <row r="2527" spans="1:8" x14ac:dyDescent="0.25">
      <c r="A2527" s="1" t="str">
        <f>"20500"</f>
        <v>20500</v>
      </c>
      <c r="B2527" s="1" t="str">
        <f>"47894"</f>
        <v>47894</v>
      </c>
      <c r="C2527" s="1" t="str">
        <f>"WASHINGTON"</f>
        <v>WASHINGTON</v>
      </c>
      <c r="D2527" s="1" t="str">
        <f>"DC"</f>
        <v>DC</v>
      </c>
      <c r="E2527" s="2">
        <v>0</v>
      </c>
      <c r="F2527" s="2">
        <v>1</v>
      </c>
      <c r="G2527" s="2">
        <v>1</v>
      </c>
      <c r="H2527" s="2">
        <v>1</v>
      </c>
    </row>
    <row r="2528" spans="1:8" x14ac:dyDescent="0.25">
      <c r="A2528" s="1" t="str">
        <f>"20070"</f>
        <v>20070</v>
      </c>
      <c r="B2528" s="1" t="str">
        <f>"47894"</f>
        <v>47894</v>
      </c>
      <c r="C2528" s="1" t="str">
        <f>"WASHINGTON"</f>
        <v>WASHINGTON</v>
      </c>
      <c r="D2528" s="1" t="str">
        <f>"DC"</f>
        <v>DC</v>
      </c>
      <c r="E2528" s="2">
        <v>0</v>
      </c>
      <c r="F2528" s="2">
        <v>1</v>
      </c>
      <c r="G2528" s="2">
        <v>0</v>
      </c>
      <c r="H2528" s="2">
        <v>1</v>
      </c>
    </row>
    <row r="2529" spans="1:8" x14ac:dyDescent="0.25">
      <c r="A2529" s="1" t="str">
        <f>"19735"</f>
        <v>19735</v>
      </c>
      <c r="B2529" s="1" t="str">
        <f>"48864"</f>
        <v>48864</v>
      </c>
      <c r="C2529" s="1" t="str">
        <f>"WINTERTHUR"</f>
        <v>WINTERTHUR</v>
      </c>
      <c r="D2529" s="1" t="str">
        <f>"DE"</f>
        <v>DE</v>
      </c>
      <c r="E2529" s="2">
        <v>1</v>
      </c>
      <c r="F2529" s="2">
        <v>1</v>
      </c>
      <c r="G2529" s="2">
        <v>0</v>
      </c>
      <c r="H2529" s="2">
        <v>1</v>
      </c>
    </row>
    <row r="2530" spans="1:8" x14ac:dyDescent="0.25">
      <c r="A2530" s="1" t="str">
        <f>"05501"</f>
        <v>05501</v>
      </c>
      <c r="B2530" s="1" t="str">
        <f>"15764"</f>
        <v>15764</v>
      </c>
      <c r="C2530" s="1" t="str">
        <f>"ANDOVER"</f>
        <v>ANDOVER</v>
      </c>
      <c r="D2530" s="1" t="str">
        <f>"MA"</f>
        <v>MA</v>
      </c>
      <c r="E2530" s="2">
        <v>0</v>
      </c>
      <c r="F2530" s="2">
        <v>1</v>
      </c>
      <c r="G2530" s="2">
        <v>0</v>
      </c>
      <c r="H2530" s="2">
        <v>1</v>
      </c>
    </row>
    <row r="2531" spans="1:8" x14ac:dyDescent="0.25">
      <c r="A2531" s="1" t="str">
        <f>"22108"</f>
        <v>22108</v>
      </c>
      <c r="B2531" s="1" t="str">
        <f>"47894"</f>
        <v>47894</v>
      </c>
      <c r="C2531" s="1" t="str">
        <f>"MC LEAN"</f>
        <v>MC LEAN</v>
      </c>
      <c r="D2531" s="1" t="str">
        <f>"VA"</f>
        <v>VA</v>
      </c>
      <c r="E2531" s="2">
        <v>0</v>
      </c>
      <c r="F2531" s="2">
        <v>1</v>
      </c>
      <c r="G2531" s="2">
        <v>0</v>
      </c>
      <c r="H2531" s="2">
        <v>1</v>
      </c>
    </row>
    <row r="2532" spans="1:8" x14ac:dyDescent="0.25">
      <c r="A2532" s="1" t="str">
        <f>"94850"</f>
        <v>94850</v>
      </c>
      <c r="B2532" s="1" t="str">
        <f>"36084"</f>
        <v>36084</v>
      </c>
      <c r="C2532" s="1" t="str">
        <f>"RICHMOND"</f>
        <v>RICHMOND</v>
      </c>
      <c r="D2532" s="1" t="str">
        <f>"CA"</f>
        <v>CA</v>
      </c>
      <c r="E2532" s="2">
        <v>0</v>
      </c>
      <c r="F2532" s="2">
        <v>1</v>
      </c>
      <c r="G2532" s="2">
        <v>1</v>
      </c>
      <c r="H2532" s="2">
        <v>1</v>
      </c>
    </row>
    <row r="2533" spans="1:8" x14ac:dyDescent="0.25">
      <c r="A2533" s="1" t="str">
        <f>"76191"</f>
        <v>76191</v>
      </c>
      <c r="B2533" s="1" t="str">
        <f>"23104"</f>
        <v>23104</v>
      </c>
      <c r="C2533" s="1" t="str">
        <f>"FORT WORTH"</f>
        <v>FORT WORTH</v>
      </c>
      <c r="D2533" s="1" t="str">
        <f>"TX"</f>
        <v>TX</v>
      </c>
      <c r="E2533" s="2">
        <v>0</v>
      </c>
      <c r="F2533" s="2">
        <v>1</v>
      </c>
      <c r="G2533" s="2">
        <v>0</v>
      </c>
      <c r="H2533" s="2">
        <v>1</v>
      </c>
    </row>
    <row r="2534" spans="1:8" x14ac:dyDescent="0.25">
      <c r="A2534" s="1" t="str">
        <f>"60082"</f>
        <v>60082</v>
      </c>
      <c r="B2534" s="1" t="str">
        <f>"16984"</f>
        <v>16984</v>
      </c>
      <c r="C2534" s="1" t="str">
        <f>"TECHNY"</f>
        <v>TECHNY</v>
      </c>
      <c r="D2534" s="1" t="str">
        <f>"IL"</f>
        <v>IL</v>
      </c>
      <c r="E2534" s="2">
        <v>0</v>
      </c>
      <c r="F2534" s="2">
        <v>1</v>
      </c>
      <c r="G2534" s="2">
        <v>0</v>
      </c>
      <c r="H2534" s="2">
        <v>1</v>
      </c>
    </row>
    <row r="2535" spans="1:8" x14ac:dyDescent="0.25">
      <c r="A2535" s="1" t="str">
        <f>"20241"</f>
        <v>20241</v>
      </c>
      <c r="B2535" s="1" t="str">
        <f>"47894"</f>
        <v>47894</v>
      </c>
      <c r="C2535" s="1" t="str">
        <f>"WASHINGTON"</f>
        <v>WASHINGTON</v>
      </c>
      <c r="D2535" s="1" t="str">
        <f>"DC"</f>
        <v>DC</v>
      </c>
      <c r="E2535" s="2">
        <v>0</v>
      </c>
      <c r="F2535" s="2">
        <v>1</v>
      </c>
      <c r="G2535" s="2">
        <v>0</v>
      </c>
      <c r="H2535" s="2">
        <v>1</v>
      </c>
    </row>
    <row r="2536" spans="1:8" x14ac:dyDescent="0.25">
      <c r="A2536" s="1" t="str">
        <f>"60569"</f>
        <v>60569</v>
      </c>
      <c r="B2536" s="1" t="str">
        <f>"16984"</f>
        <v>16984</v>
      </c>
      <c r="C2536" s="1" t="str">
        <f>"AURORA"</f>
        <v>AURORA</v>
      </c>
      <c r="D2536" s="1" t="str">
        <f>"IL"</f>
        <v>IL</v>
      </c>
      <c r="E2536" s="2">
        <v>0</v>
      </c>
      <c r="F2536" s="2">
        <v>1</v>
      </c>
      <c r="G2536" s="2">
        <v>0</v>
      </c>
      <c r="H2536" s="2">
        <v>1</v>
      </c>
    </row>
    <row r="2537" spans="1:8" x14ac:dyDescent="0.25">
      <c r="A2537" s="1" t="str">
        <f>"01746"</f>
        <v>01746</v>
      </c>
      <c r="B2537" s="1" t="str">
        <f>"14454"</f>
        <v>14454</v>
      </c>
      <c r="C2537" s="1" t="str">
        <f>"HOLLISTON"</f>
        <v>HOLLISTON</v>
      </c>
      <c r="D2537" s="1" t="str">
        <f t="shared" ref="D2537:D2545" si="180">"MA"</f>
        <v>MA</v>
      </c>
      <c r="E2537" s="2">
        <v>9.2994420334779903E-4</v>
      </c>
      <c r="F2537" s="2">
        <v>0</v>
      </c>
      <c r="G2537" s="2">
        <v>0</v>
      </c>
      <c r="H2537" s="2">
        <v>8.1070125658694705E-4</v>
      </c>
    </row>
    <row r="2538" spans="1:8" x14ac:dyDescent="0.25">
      <c r="A2538" s="1" t="str">
        <f>"01746"</f>
        <v>01746</v>
      </c>
      <c r="B2538" s="1" t="str">
        <f>"15764"</f>
        <v>15764</v>
      </c>
      <c r="C2538" s="1" t="str">
        <f>"HOLLISTON"</f>
        <v>HOLLISTON</v>
      </c>
      <c r="D2538" s="1" t="str">
        <f t="shared" si="180"/>
        <v>MA</v>
      </c>
      <c r="E2538" s="2">
        <v>0.99907005579665198</v>
      </c>
      <c r="F2538" s="2">
        <v>1</v>
      </c>
      <c r="G2538" s="2">
        <v>1</v>
      </c>
      <c r="H2538" s="2">
        <v>0.999189298743413</v>
      </c>
    </row>
    <row r="2539" spans="1:8" x14ac:dyDescent="0.25">
      <c r="A2539" s="1" t="str">
        <f>"01803"</f>
        <v>01803</v>
      </c>
      <c r="B2539" s="1" t="str">
        <f>"15764"</f>
        <v>15764</v>
      </c>
      <c r="C2539" s="1" t="str">
        <f>"BURLINGTON"</f>
        <v>BURLINGTON</v>
      </c>
      <c r="D2539" s="1" t="str">
        <f t="shared" si="180"/>
        <v>MA</v>
      </c>
      <c r="E2539" s="2">
        <v>1</v>
      </c>
      <c r="F2539" s="2">
        <v>1</v>
      </c>
      <c r="G2539" s="2">
        <v>1</v>
      </c>
      <c r="H2539" s="2">
        <v>1</v>
      </c>
    </row>
    <row r="2540" spans="1:8" x14ac:dyDescent="0.25">
      <c r="A2540" s="1" t="str">
        <f>"01841"</f>
        <v>01841</v>
      </c>
      <c r="B2540" s="1" t="str">
        <f>"15764"</f>
        <v>15764</v>
      </c>
      <c r="C2540" s="1" t="str">
        <f>"LAWRENCE"</f>
        <v>LAWRENCE</v>
      </c>
      <c r="D2540" s="1" t="str">
        <f t="shared" si="180"/>
        <v>MA</v>
      </c>
      <c r="E2540" s="2">
        <v>1</v>
      </c>
      <c r="F2540" s="2">
        <v>1</v>
      </c>
      <c r="G2540" s="2">
        <v>1</v>
      </c>
      <c r="H2540" s="2">
        <v>1</v>
      </c>
    </row>
    <row r="2541" spans="1:8" x14ac:dyDescent="0.25">
      <c r="A2541" s="1" t="str">
        <f>"01840"</f>
        <v>01840</v>
      </c>
      <c r="B2541" s="1" t="str">
        <f>"15764"</f>
        <v>15764</v>
      </c>
      <c r="C2541" s="1" t="str">
        <f>"LAWRENCE"</f>
        <v>LAWRENCE</v>
      </c>
      <c r="D2541" s="1" t="str">
        <f t="shared" si="180"/>
        <v>MA</v>
      </c>
      <c r="E2541" s="2">
        <v>1</v>
      </c>
      <c r="F2541" s="2">
        <v>1</v>
      </c>
      <c r="G2541" s="2">
        <v>1</v>
      </c>
      <c r="H2541" s="2">
        <v>1</v>
      </c>
    </row>
    <row r="2542" spans="1:8" x14ac:dyDescent="0.25">
      <c r="A2542" s="1" t="str">
        <f>"01984"</f>
        <v>01984</v>
      </c>
      <c r="B2542" s="1" t="str">
        <f>"15764"</f>
        <v>15764</v>
      </c>
      <c r="C2542" s="1" t="str">
        <f>"WENHAM"</f>
        <v>WENHAM</v>
      </c>
      <c r="D2542" s="1" t="str">
        <f t="shared" si="180"/>
        <v>MA</v>
      </c>
      <c r="E2542" s="2">
        <v>1</v>
      </c>
      <c r="F2542" s="2">
        <v>1</v>
      </c>
      <c r="G2542" s="2">
        <v>1</v>
      </c>
      <c r="H2542" s="2">
        <v>1</v>
      </c>
    </row>
    <row r="2543" spans="1:8" x14ac:dyDescent="0.25">
      <c r="A2543" s="1" t="str">
        <f>"02125"</f>
        <v>02125</v>
      </c>
      <c r="B2543" s="1" t="str">
        <f>"14454"</f>
        <v>14454</v>
      </c>
      <c r="C2543" s="1" t="str">
        <f>"DORCHESTER"</f>
        <v>DORCHESTER</v>
      </c>
      <c r="D2543" s="1" t="str">
        <f t="shared" si="180"/>
        <v>MA</v>
      </c>
      <c r="E2543" s="2">
        <v>1</v>
      </c>
      <c r="F2543" s="2">
        <v>1</v>
      </c>
      <c r="G2543" s="2">
        <v>1</v>
      </c>
      <c r="H2543" s="2">
        <v>1</v>
      </c>
    </row>
    <row r="2544" spans="1:8" x14ac:dyDescent="0.25">
      <c r="A2544" s="1" t="str">
        <f>"02130"</f>
        <v>02130</v>
      </c>
      <c r="B2544" s="1" t="str">
        <f>"14454"</f>
        <v>14454</v>
      </c>
      <c r="C2544" s="1" t="str">
        <f>"JAMAICA PLAIN"</f>
        <v>JAMAICA PLAIN</v>
      </c>
      <c r="D2544" s="1" t="str">
        <f t="shared" si="180"/>
        <v>MA</v>
      </c>
      <c r="E2544" s="2">
        <v>1</v>
      </c>
      <c r="F2544" s="2">
        <v>1</v>
      </c>
      <c r="G2544" s="2">
        <v>1</v>
      </c>
      <c r="H2544" s="2">
        <v>1</v>
      </c>
    </row>
    <row r="2545" spans="1:8" x14ac:dyDescent="0.25">
      <c r="A2545" s="1" t="str">
        <f>"02143"</f>
        <v>02143</v>
      </c>
      <c r="B2545" s="1" t="str">
        <f>"15764"</f>
        <v>15764</v>
      </c>
      <c r="C2545" s="1" t="str">
        <f>"SOMERVILLE"</f>
        <v>SOMERVILLE</v>
      </c>
      <c r="D2545" s="1" t="str">
        <f t="shared" si="180"/>
        <v>MA</v>
      </c>
      <c r="E2545" s="2">
        <v>1</v>
      </c>
      <c r="F2545" s="2">
        <v>1</v>
      </c>
      <c r="G2545" s="2">
        <v>1</v>
      </c>
      <c r="H2545" s="2">
        <v>1</v>
      </c>
    </row>
    <row r="2546" spans="1:8" x14ac:dyDescent="0.25">
      <c r="A2546" s="1" t="str">
        <f>"03044"</f>
        <v>03044</v>
      </c>
      <c r="B2546" s="1" t="str">
        <f>"40484"</f>
        <v>40484</v>
      </c>
      <c r="C2546" s="1" t="str">
        <f>"FREMONT"</f>
        <v>FREMONT</v>
      </c>
      <c r="D2546" s="1" t="str">
        <f>"NH"</f>
        <v>NH</v>
      </c>
      <c r="E2546" s="2">
        <v>1</v>
      </c>
      <c r="F2546" s="2">
        <v>1</v>
      </c>
      <c r="G2546" s="2">
        <v>1</v>
      </c>
      <c r="H2546" s="2">
        <v>1</v>
      </c>
    </row>
    <row r="2547" spans="1:8" x14ac:dyDescent="0.25">
      <c r="A2547" s="1" t="str">
        <f>"03811"</f>
        <v>03811</v>
      </c>
      <c r="B2547" s="1" t="str">
        <f>"40484"</f>
        <v>40484</v>
      </c>
      <c r="C2547" s="1" t="str">
        <f>"ATKINSON"</f>
        <v>ATKINSON</v>
      </c>
      <c r="D2547" s="1" t="str">
        <f>"NH"</f>
        <v>NH</v>
      </c>
      <c r="E2547" s="2">
        <v>1</v>
      </c>
      <c r="F2547" s="2">
        <v>1</v>
      </c>
      <c r="G2547" s="2">
        <v>1</v>
      </c>
      <c r="H2547" s="2">
        <v>1</v>
      </c>
    </row>
    <row r="2548" spans="1:8" x14ac:dyDescent="0.25">
      <c r="A2548" s="1" t="str">
        <f>"07035"</f>
        <v>07035</v>
      </c>
      <c r="B2548" s="1" t="str">
        <f>"35084"</f>
        <v>35084</v>
      </c>
      <c r="C2548" s="1" t="str">
        <f>"LINCOLN PARK"</f>
        <v>LINCOLN PARK</v>
      </c>
      <c r="D2548" s="1" t="str">
        <f t="shared" ref="D2548:D2559" si="181">"NJ"</f>
        <v>NJ</v>
      </c>
      <c r="E2548" s="2">
        <v>1</v>
      </c>
      <c r="F2548" s="2">
        <v>1</v>
      </c>
      <c r="G2548" s="2">
        <v>1</v>
      </c>
      <c r="H2548" s="2">
        <v>1</v>
      </c>
    </row>
    <row r="2549" spans="1:8" x14ac:dyDescent="0.25">
      <c r="A2549" s="1" t="str">
        <f>"07044"</f>
        <v>07044</v>
      </c>
      <c r="B2549" s="1" t="str">
        <f>"35084"</f>
        <v>35084</v>
      </c>
      <c r="C2549" s="1" t="str">
        <f>"VERONA"</f>
        <v>VERONA</v>
      </c>
      <c r="D2549" s="1" t="str">
        <f t="shared" si="181"/>
        <v>NJ</v>
      </c>
      <c r="E2549" s="2">
        <v>1</v>
      </c>
      <c r="F2549" s="2">
        <v>1</v>
      </c>
      <c r="G2549" s="2">
        <v>1</v>
      </c>
      <c r="H2549" s="2">
        <v>1</v>
      </c>
    </row>
    <row r="2550" spans="1:8" x14ac:dyDescent="0.25">
      <c r="A2550" s="1" t="str">
        <f>"07093"</f>
        <v>07093</v>
      </c>
      <c r="B2550" s="1" t="str">
        <f>"35614"</f>
        <v>35614</v>
      </c>
      <c r="C2550" s="1" t="str">
        <f>"WEST NEW YORK"</f>
        <v>WEST NEW YORK</v>
      </c>
      <c r="D2550" s="1" t="str">
        <f t="shared" si="181"/>
        <v>NJ</v>
      </c>
      <c r="E2550" s="2">
        <v>1</v>
      </c>
      <c r="F2550" s="2">
        <v>1</v>
      </c>
      <c r="G2550" s="2">
        <v>1</v>
      </c>
      <c r="H2550" s="2">
        <v>1</v>
      </c>
    </row>
    <row r="2551" spans="1:8" x14ac:dyDescent="0.25">
      <c r="A2551" s="1" t="str">
        <f>"07105"</f>
        <v>07105</v>
      </c>
      <c r="B2551" s="1" t="str">
        <f>"35084"</f>
        <v>35084</v>
      </c>
      <c r="C2551" s="1" t="str">
        <f>"NEWARK"</f>
        <v>NEWARK</v>
      </c>
      <c r="D2551" s="1" t="str">
        <f t="shared" si="181"/>
        <v>NJ</v>
      </c>
      <c r="E2551" s="2">
        <v>1</v>
      </c>
      <c r="F2551" s="2">
        <v>1</v>
      </c>
      <c r="G2551" s="2">
        <v>1</v>
      </c>
      <c r="H2551" s="2">
        <v>1</v>
      </c>
    </row>
    <row r="2552" spans="1:8" x14ac:dyDescent="0.25">
      <c r="A2552" s="1" t="str">
        <f>"07436"</f>
        <v>07436</v>
      </c>
      <c r="B2552" s="1" t="str">
        <f>"35614"</f>
        <v>35614</v>
      </c>
      <c r="C2552" s="1" t="str">
        <f>"OAKLAND"</f>
        <v>OAKLAND</v>
      </c>
      <c r="D2552" s="1" t="str">
        <f t="shared" si="181"/>
        <v>NJ</v>
      </c>
      <c r="E2552" s="2">
        <v>1</v>
      </c>
      <c r="F2552" s="2">
        <v>1</v>
      </c>
      <c r="G2552" s="2">
        <v>1</v>
      </c>
      <c r="H2552" s="2">
        <v>1</v>
      </c>
    </row>
    <row r="2553" spans="1:8" x14ac:dyDescent="0.25">
      <c r="A2553" s="1" t="str">
        <f>"07401"</f>
        <v>07401</v>
      </c>
      <c r="B2553" s="1" t="str">
        <f>"35614"</f>
        <v>35614</v>
      </c>
      <c r="C2553" s="1" t="str">
        <f>"ALLENDALE"</f>
        <v>ALLENDALE</v>
      </c>
      <c r="D2553" s="1" t="str">
        <f t="shared" si="181"/>
        <v>NJ</v>
      </c>
      <c r="E2553" s="2">
        <v>1</v>
      </c>
      <c r="F2553" s="2">
        <v>1</v>
      </c>
      <c r="G2553" s="2">
        <v>1</v>
      </c>
      <c r="H2553" s="2">
        <v>1</v>
      </c>
    </row>
    <row r="2554" spans="1:8" x14ac:dyDescent="0.25">
      <c r="A2554" s="1" t="str">
        <f>"07504"</f>
        <v>07504</v>
      </c>
      <c r="B2554" s="1" t="str">
        <f>"35614"</f>
        <v>35614</v>
      </c>
      <c r="C2554" s="1" t="str">
        <f>"PATERSON"</f>
        <v>PATERSON</v>
      </c>
      <c r="D2554" s="1" t="str">
        <f t="shared" si="181"/>
        <v>NJ</v>
      </c>
      <c r="E2554" s="2">
        <v>1</v>
      </c>
      <c r="F2554" s="2">
        <v>1</v>
      </c>
      <c r="G2554" s="2">
        <v>1</v>
      </c>
      <c r="H2554" s="2">
        <v>1</v>
      </c>
    </row>
    <row r="2555" spans="1:8" x14ac:dyDescent="0.25">
      <c r="A2555" s="1" t="str">
        <f>"07509"</f>
        <v>07509</v>
      </c>
      <c r="B2555" s="1" t="str">
        <f>"35614"</f>
        <v>35614</v>
      </c>
      <c r="C2555" s="1" t="str">
        <f>"PATERSON"</f>
        <v>PATERSON</v>
      </c>
      <c r="D2555" s="1" t="str">
        <f t="shared" si="181"/>
        <v>NJ</v>
      </c>
      <c r="E2555" s="2">
        <v>1</v>
      </c>
      <c r="F2555" s="2">
        <v>1</v>
      </c>
      <c r="G2555" s="2">
        <v>1</v>
      </c>
      <c r="H2555" s="2">
        <v>1</v>
      </c>
    </row>
    <row r="2556" spans="1:8" x14ac:dyDescent="0.25">
      <c r="A2556" s="1" t="str">
        <f>"07747"</f>
        <v>07747</v>
      </c>
      <c r="B2556" s="1" t="str">
        <f>"35154"</f>
        <v>35154</v>
      </c>
      <c r="C2556" s="1" t="str">
        <f>"MATAWAN"</f>
        <v>MATAWAN</v>
      </c>
      <c r="D2556" s="1" t="str">
        <f t="shared" si="181"/>
        <v>NJ</v>
      </c>
      <c r="E2556" s="2">
        <v>1</v>
      </c>
      <c r="F2556" s="2">
        <v>1</v>
      </c>
      <c r="G2556" s="2">
        <v>1</v>
      </c>
      <c r="H2556" s="2">
        <v>1</v>
      </c>
    </row>
    <row r="2557" spans="1:8" x14ac:dyDescent="0.25">
      <c r="A2557" s="1" t="str">
        <f>"07871"</f>
        <v>07871</v>
      </c>
      <c r="B2557" s="1" t="str">
        <f>"35084"</f>
        <v>35084</v>
      </c>
      <c r="C2557" s="1" t="str">
        <f>"SPARTA"</f>
        <v>SPARTA</v>
      </c>
      <c r="D2557" s="1" t="str">
        <f t="shared" si="181"/>
        <v>NJ</v>
      </c>
      <c r="E2557" s="2">
        <v>1</v>
      </c>
      <c r="F2557" s="2">
        <v>1</v>
      </c>
      <c r="G2557" s="2">
        <v>1</v>
      </c>
      <c r="H2557" s="2">
        <v>1</v>
      </c>
    </row>
    <row r="2558" spans="1:8" x14ac:dyDescent="0.25">
      <c r="A2558" s="1" t="str">
        <f>"07930"</f>
        <v>07930</v>
      </c>
      <c r="B2558" s="1" t="str">
        <f>"35084"</f>
        <v>35084</v>
      </c>
      <c r="C2558" s="1" t="str">
        <f>"CHESTER"</f>
        <v>CHESTER</v>
      </c>
      <c r="D2558" s="1" t="str">
        <f t="shared" si="181"/>
        <v>NJ</v>
      </c>
      <c r="E2558" s="2">
        <v>1</v>
      </c>
      <c r="F2558" s="2">
        <v>1</v>
      </c>
      <c r="G2558" s="2">
        <v>1</v>
      </c>
      <c r="H2558" s="2">
        <v>1</v>
      </c>
    </row>
    <row r="2559" spans="1:8" x14ac:dyDescent="0.25">
      <c r="A2559" s="1" t="str">
        <f>"08530"</f>
        <v>08530</v>
      </c>
      <c r="B2559" s="1" t="str">
        <f>"35084"</f>
        <v>35084</v>
      </c>
      <c r="C2559" s="1" t="str">
        <f>"LAMBERTVILLE"</f>
        <v>LAMBERTVILLE</v>
      </c>
      <c r="D2559" s="1" t="str">
        <f t="shared" si="181"/>
        <v>NJ</v>
      </c>
      <c r="E2559" s="2">
        <v>1</v>
      </c>
      <c r="F2559" s="2">
        <v>1</v>
      </c>
      <c r="G2559" s="2">
        <v>1</v>
      </c>
      <c r="H2559" s="2">
        <v>1</v>
      </c>
    </row>
    <row r="2560" spans="1:8" x14ac:dyDescent="0.25">
      <c r="A2560" s="1" t="str">
        <f>"10003"</f>
        <v>10003</v>
      </c>
      <c r="B2560" s="1" t="str">
        <f t="shared" ref="B2560:B2568" si="182">"35614"</f>
        <v>35614</v>
      </c>
      <c r="C2560" s="1" t="str">
        <f>"NEW YORK"</f>
        <v>NEW YORK</v>
      </c>
      <c r="D2560" s="1" t="str">
        <f t="shared" ref="D2560:D2576" si="183">"NY"</f>
        <v>NY</v>
      </c>
      <c r="E2560" s="2">
        <v>1</v>
      </c>
      <c r="F2560" s="2">
        <v>1</v>
      </c>
      <c r="G2560" s="2">
        <v>1</v>
      </c>
      <c r="H2560" s="2">
        <v>1</v>
      </c>
    </row>
    <row r="2561" spans="1:8" x14ac:dyDescent="0.25">
      <c r="A2561" s="1" t="str">
        <f>"10029"</f>
        <v>10029</v>
      </c>
      <c r="B2561" s="1" t="str">
        <f t="shared" si="182"/>
        <v>35614</v>
      </c>
      <c r="C2561" s="1" t="str">
        <f>"NEW YORK"</f>
        <v>NEW YORK</v>
      </c>
      <c r="D2561" s="1" t="str">
        <f t="shared" si="183"/>
        <v>NY</v>
      </c>
      <c r="E2561" s="2">
        <v>1</v>
      </c>
      <c r="F2561" s="2">
        <v>1</v>
      </c>
      <c r="G2561" s="2">
        <v>1</v>
      </c>
      <c r="H2561" s="2">
        <v>1</v>
      </c>
    </row>
    <row r="2562" spans="1:8" x14ac:dyDescent="0.25">
      <c r="A2562" s="1" t="str">
        <f>"10303"</f>
        <v>10303</v>
      </c>
      <c r="B2562" s="1" t="str">
        <f t="shared" si="182"/>
        <v>35614</v>
      </c>
      <c r="C2562" s="1" t="str">
        <f>"STATEN ISLAND"</f>
        <v>STATEN ISLAND</v>
      </c>
      <c r="D2562" s="1" t="str">
        <f t="shared" si="183"/>
        <v>NY</v>
      </c>
      <c r="E2562" s="2">
        <v>1</v>
      </c>
      <c r="F2562" s="2">
        <v>1</v>
      </c>
      <c r="G2562" s="2">
        <v>1</v>
      </c>
      <c r="H2562" s="2">
        <v>1</v>
      </c>
    </row>
    <row r="2563" spans="1:8" x14ac:dyDescent="0.25">
      <c r="A2563" s="1" t="str">
        <f>"10302"</f>
        <v>10302</v>
      </c>
      <c r="B2563" s="1" t="str">
        <f t="shared" si="182"/>
        <v>35614</v>
      </c>
      <c r="C2563" s="1" t="str">
        <f>"STATEN ISLAND"</f>
        <v>STATEN ISLAND</v>
      </c>
      <c r="D2563" s="1" t="str">
        <f t="shared" si="183"/>
        <v>NY</v>
      </c>
      <c r="E2563" s="2">
        <v>1</v>
      </c>
      <c r="F2563" s="2">
        <v>1</v>
      </c>
      <c r="G2563" s="2">
        <v>1</v>
      </c>
      <c r="H2563" s="2">
        <v>1</v>
      </c>
    </row>
    <row r="2564" spans="1:8" x14ac:dyDescent="0.25">
      <c r="A2564" s="1" t="str">
        <f>"10454"</f>
        <v>10454</v>
      </c>
      <c r="B2564" s="1" t="str">
        <f t="shared" si="182"/>
        <v>35614</v>
      </c>
      <c r="C2564" s="1" t="str">
        <f>"BRONX"</f>
        <v>BRONX</v>
      </c>
      <c r="D2564" s="1" t="str">
        <f t="shared" si="183"/>
        <v>NY</v>
      </c>
      <c r="E2564" s="2">
        <v>1</v>
      </c>
      <c r="F2564" s="2">
        <v>1</v>
      </c>
      <c r="G2564" s="2">
        <v>1</v>
      </c>
      <c r="H2564" s="2">
        <v>1</v>
      </c>
    </row>
    <row r="2565" spans="1:8" x14ac:dyDescent="0.25">
      <c r="A2565" s="1" t="str">
        <f>"10470"</f>
        <v>10470</v>
      </c>
      <c r="B2565" s="1" t="str">
        <f t="shared" si="182"/>
        <v>35614</v>
      </c>
      <c r="C2565" s="1" t="str">
        <f>"BRONX"</f>
        <v>BRONX</v>
      </c>
      <c r="D2565" s="1" t="str">
        <f t="shared" si="183"/>
        <v>NY</v>
      </c>
      <c r="E2565" s="2">
        <v>1</v>
      </c>
      <c r="F2565" s="2">
        <v>1</v>
      </c>
      <c r="G2565" s="2">
        <v>1</v>
      </c>
      <c r="H2565" s="2">
        <v>1</v>
      </c>
    </row>
    <row r="2566" spans="1:8" x14ac:dyDescent="0.25">
      <c r="A2566" s="1" t="str">
        <f>"11221"</f>
        <v>11221</v>
      </c>
      <c r="B2566" s="1" t="str">
        <f t="shared" si="182"/>
        <v>35614</v>
      </c>
      <c r="C2566" s="1" t="str">
        <f>"BROOKLYN"</f>
        <v>BROOKLYN</v>
      </c>
      <c r="D2566" s="1" t="str">
        <f t="shared" si="183"/>
        <v>NY</v>
      </c>
      <c r="E2566" s="2">
        <v>1</v>
      </c>
      <c r="F2566" s="2">
        <v>1</v>
      </c>
      <c r="G2566" s="2">
        <v>1</v>
      </c>
      <c r="H2566" s="2">
        <v>1</v>
      </c>
    </row>
    <row r="2567" spans="1:8" x14ac:dyDescent="0.25">
      <c r="A2567" s="1" t="str">
        <f>"11238"</f>
        <v>11238</v>
      </c>
      <c r="B2567" s="1" t="str">
        <f t="shared" si="182"/>
        <v>35614</v>
      </c>
      <c r="C2567" s="1" t="str">
        <f>"BROOKLYN"</f>
        <v>BROOKLYN</v>
      </c>
      <c r="D2567" s="1" t="str">
        <f t="shared" si="183"/>
        <v>NY</v>
      </c>
      <c r="E2567" s="2">
        <v>1</v>
      </c>
      <c r="F2567" s="2">
        <v>1</v>
      </c>
      <c r="G2567" s="2">
        <v>1</v>
      </c>
      <c r="H2567" s="2">
        <v>1</v>
      </c>
    </row>
    <row r="2568" spans="1:8" x14ac:dyDescent="0.25">
      <c r="A2568" s="1" t="str">
        <f>"11420"</f>
        <v>11420</v>
      </c>
      <c r="B2568" s="1" t="str">
        <f t="shared" si="182"/>
        <v>35614</v>
      </c>
      <c r="C2568" s="1" t="str">
        <f>"SOUTH OZONE PARK"</f>
        <v>SOUTH OZONE PARK</v>
      </c>
      <c r="D2568" s="1" t="str">
        <f t="shared" si="183"/>
        <v>NY</v>
      </c>
      <c r="E2568" s="2">
        <v>1</v>
      </c>
      <c r="F2568" s="2">
        <v>1</v>
      </c>
      <c r="G2568" s="2">
        <v>1</v>
      </c>
      <c r="H2568" s="2">
        <v>1</v>
      </c>
    </row>
    <row r="2569" spans="1:8" x14ac:dyDescent="0.25">
      <c r="A2569" s="1" t="str">
        <f>"11784"</f>
        <v>11784</v>
      </c>
      <c r="B2569" s="1" t="str">
        <f>"35004"</f>
        <v>35004</v>
      </c>
      <c r="C2569" s="1" t="str">
        <f>"SELDEN"</f>
        <v>SELDEN</v>
      </c>
      <c r="D2569" s="1" t="str">
        <f t="shared" si="183"/>
        <v>NY</v>
      </c>
      <c r="E2569" s="2">
        <v>1</v>
      </c>
      <c r="F2569" s="2">
        <v>1</v>
      </c>
      <c r="G2569" s="2">
        <v>1</v>
      </c>
      <c r="H2569" s="2">
        <v>1</v>
      </c>
    </row>
    <row r="2570" spans="1:8" x14ac:dyDescent="0.25">
      <c r="A2570" s="1" t="str">
        <f>"11782"</f>
        <v>11782</v>
      </c>
      <c r="B2570" s="1" t="str">
        <f>"35004"</f>
        <v>35004</v>
      </c>
      <c r="C2570" s="1" t="str">
        <f>"SAYVILLE"</f>
        <v>SAYVILLE</v>
      </c>
      <c r="D2570" s="1" t="str">
        <f t="shared" si="183"/>
        <v>NY</v>
      </c>
      <c r="E2570" s="2">
        <v>1</v>
      </c>
      <c r="F2570" s="2">
        <v>1</v>
      </c>
      <c r="G2570" s="2">
        <v>1</v>
      </c>
      <c r="H2570" s="2">
        <v>1</v>
      </c>
    </row>
    <row r="2571" spans="1:8" x14ac:dyDescent="0.25">
      <c r="A2571" s="1" t="str">
        <f>"11963"</f>
        <v>11963</v>
      </c>
      <c r="B2571" s="1" t="str">
        <f>"35004"</f>
        <v>35004</v>
      </c>
      <c r="C2571" s="1" t="str">
        <f>"SAG HARBOR"</f>
        <v>SAG HARBOR</v>
      </c>
      <c r="D2571" s="1" t="str">
        <f t="shared" si="183"/>
        <v>NY</v>
      </c>
      <c r="E2571" s="2">
        <v>1</v>
      </c>
      <c r="F2571" s="2">
        <v>1</v>
      </c>
      <c r="G2571" s="2">
        <v>1</v>
      </c>
      <c r="H2571" s="2">
        <v>1</v>
      </c>
    </row>
    <row r="2572" spans="1:8" x14ac:dyDescent="0.25">
      <c r="A2572" s="1" t="str">
        <f>"11968"</f>
        <v>11968</v>
      </c>
      <c r="B2572" s="1" t="str">
        <f>"35004"</f>
        <v>35004</v>
      </c>
      <c r="C2572" s="1" t="str">
        <f>"SOUTHAMPTON"</f>
        <v>SOUTHAMPTON</v>
      </c>
      <c r="D2572" s="1" t="str">
        <f t="shared" si="183"/>
        <v>NY</v>
      </c>
      <c r="E2572" s="2">
        <v>1</v>
      </c>
      <c r="F2572" s="2">
        <v>1</v>
      </c>
      <c r="G2572" s="2">
        <v>1</v>
      </c>
      <c r="H2572" s="2">
        <v>1</v>
      </c>
    </row>
    <row r="2573" spans="1:8" x14ac:dyDescent="0.25">
      <c r="A2573" s="1" t="str">
        <f>"10552"</f>
        <v>10552</v>
      </c>
      <c r="B2573" s="1" t="str">
        <f>"35614"</f>
        <v>35614</v>
      </c>
      <c r="C2573" s="1" t="str">
        <f>"MOUNT VERNON"</f>
        <v>MOUNT VERNON</v>
      </c>
      <c r="D2573" s="1" t="str">
        <f t="shared" si="183"/>
        <v>NY</v>
      </c>
      <c r="E2573" s="2">
        <v>1</v>
      </c>
      <c r="F2573" s="2">
        <v>1</v>
      </c>
      <c r="G2573" s="2">
        <v>1</v>
      </c>
      <c r="H2573" s="2">
        <v>1</v>
      </c>
    </row>
    <row r="2574" spans="1:8" x14ac:dyDescent="0.25">
      <c r="A2574" s="1" t="str">
        <f>"10594"</f>
        <v>10594</v>
      </c>
      <c r="B2574" s="1" t="str">
        <f>"35614"</f>
        <v>35614</v>
      </c>
      <c r="C2574" s="1" t="str">
        <f>"THORNWOOD"</f>
        <v>THORNWOOD</v>
      </c>
      <c r="D2574" s="1" t="str">
        <f t="shared" si="183"/>
        <v>NY</v>
      </c>
      <c r="E2574" s="2">
        <v>1</v>
      </c>
      <c r="F2574" s="2">
        <v>1</v>
      </c>
      <c r="G2574" s="2">
        <v>1</v>
      </c>
      <c r="H2574" s="2">
        <v>1</v>
      </c>
    </row>
    <row r="2575" spans="1:8" x14ac:dyDescent="0.25">
      <c r="A2575" s="1" t="str">
        <f>"10962"</f>
        <v>10962</v>
      </c>
      <c r="B2575" s="1" t="str">
        <f>"35614"</f>
        <v>35614</v>
      </c>
      <c r="C2575" s="1" t="str">
        <f>"ORANGEBURG"</f>
        <v>ORANGEBURG</v>
      </c>
      <c r="D2575" s="1" t="str">
        <f t="shared" si="183"/>
        <v>NY</v>
      </c>
      <c r="E2575" s="2">
        <v>1</v>
      </c>
      <c r="F2575" s="2">
        <v>1</v>
      </c>
      <c r="G2575" s="2">
        <v>1</v>
      </c>
      <c r="H2575" s="2">
        <v>1</v>
      </c>
    </row>
    <row r="2576" spans="1:8" x14ac:dyDescent="0.25">
      <c r="A2576" s="1" t="str">
        <f>"10993"</f>
        <v>10993</v>
      </c>
      <c r="B2576" s="1" t="str">
        <f>"35614"</f>
        <v>35614</v>
      </c>
      <c r="C2576" s="1" t="str">
        <f>"WEST HAVERSTRAW"</f>
        <v>WEST HAVERSTRAW</v>
      </c>
      <c r="D2576" s="1" t="str">
        <f t="shared" si="183"/>
        <v>NY</v>
      </c>
      <c r="E2576" s="2">
        <v>1</v>
      </c>
      <c r="F2576" s="2">
        <v>1</v>
      </c>
      <c r="G2576" s="2">
        <v>1</v>
      </c>
      <c r="H2576" s="2">
        <v>1</v>
      </c>
    </row>
    <row r="2577" spans="1:8" x14ac:dyDescent="0.25">
      <c r="A2577" s="1" t="str">
        <f>"19111"</f>
        <v>19111</v>
      </c>
      <c r="B2577" s="1" t="str">
        <f>"37964"</f>
        <v>37964</v>
      </c>
      <c r="C2577" s="1" t="str">
        <f>"PHILADELPHIA"</f>
        <v>PHILADELPHIA</v>
      </c>
      <c r="D2577" s="1" t="str">
        <f t="shared" ref="D2577:D2584" si="184">"PA"</f>
        <v>PA</v>
      </c>
      <c r="E2577" s="2">
        <v>1</v>
      </c>
      <c r="F2577" s="2">
        <v>1</v>
      </c>
      <c r="G2577" s="2">
        <v>1</v>
      </c>
      <c r="H2577" s="2">
        <v>1</v>
      </c>
    </row>
    <row r="2578" spans="1:8" x14ac:dyDescent="0.25">
      <c r="A2578" s="1" t="str">
        <f>"19105"</f>
        <v>19105</v>
      </c>
      <c r="B2578" s="1" t="str">
        <f>"37964"</f>
        <v>37964</v>
      </c>
      <c r="C2578" s="1" t="str">
        <f>"PHILADELPHIA"</f>
        <v>PHILADELPHIA</v>
      </c>
      <c r="D2578" s="1" t="str">
        <f t="shared" si="184"/>
        <v>PA</v>
      </c>
      <c r="E2578" s="2">
        <v>1</v>
      </c>
      <c r="F2578" s="2">
        <v>1</v>
      </c>
      <c r="G2578" s="2">
        <v>1</v>
      </c>
      <c r="H2578" s="2">
        <v>1</v>
      </c>
    </row>
    <row r="2579" spans="1:8" x14ac:dyDescent="0.25">
      <c r="A2579" s="1" t="str">
        <f>"19094"</f>
        <v>19094</v>
      </c>
      <c r="B2579" s="1" t="str">
        <f>"37964"</f>
        <v>37964</v>
      </c>
      <c r="C2579" s="1" t="str">
        <f>"WOODLYN"</f>
        <v>WOODLYN</v>
      </c>
      <c r="D2579" s="1" t="str">
        <f t="shared" si="184"/>
        <v>PA</v>
      </c>
      <c r="E2579" s="2">
        <v>1</v>
      </c>
      <c r="F2579" s="2">
        <v>1</v>
      </c>
      <c r="G2579" s="2">
        <v>1</v>
      </c>
      <c r="H2579" s="2">
        <v>1</v>
      </c>
    </row>
    <row r="2580" spans="1:8" x14ac:dyDescent="0.25">
      <c r="A2580" s="1" t="str">
        <f>"19090"</f>
        <v>19090</v>
      </c>
      <c r="B2580" s="1" t="str">
        <f>"33874"</f>
        <v>33874</v>
      </c>
      <c r="C2580" s="1" t="str">
        <f>"WILLOW GROVE"</f>
        <v>WILLOW GROVE</v>
      </c>
      <c r="D2580" s="1" t="str">
        <f t="shared" si="184"/>
        <v>PA</v>
      </c>
      <c r="E2580" s="2">
        <v>1</v>
      </c>
      <c r="F2580" s="2">
        <v>1</v>
      </c>
      <c r="G2580" s="2">
        <v>1</v>
      </c>
      <c r="H2580" s="2">
        <v>1</v>
      </c>
    </row>
    <row r="2581" spans="1:8" x14ac:dyDescent="0.25">
      <c r="A2581" s="1" t="str">
        <f>"19133"</f>
        <v>19133</v>
      </c>
      <c r="B2581" s="1" t="str">
        <f>"37964"</f>
        <v>37964</v>
      </c>
      <c r="C2581" s="1" t="str">
        <f>"PHILADELPHIA"</f>
        <v>PHILADELPHIA</v>
      </c>
      <c r="D2581" s="1" t="str">
        <f t="shared" si="184"/>
        <v>PA</v>
      </c>
      <c r="E2581" s="2">
        <v>1</v>
      </c>
      <c r="F2581" s="2">
        <v>1</v>
      </c>
      <c r="G2581" s="2">
        <v>1</v>
      </c>
      <c r="H2581" s="2">
        <v>1</v>
      </c>
    </row>
    <row r="2582" spans="1:8" x14ac:dyDescent="0.25">
      <c r="A2582" s="1" t="str">
        <f>"19341"</f>
        <v>19341</v>
      </c>
      <c r="B2582" s="1" t="str">
        <f>"33874"</f>
        <v>33874</v>
      </c>
      <c r="C2582" s="1" t="str">
        <f>"EXTON"</f>
        <v>EXTON</v>
      </c>
      <c r="D2582" s="1" t="str">
        <f t="shared" si="184"/>
        <v>PA</v>
      </c>
      <c r="E2582" s="2">
        <v>1</v>
      </c>
      <c r="F2582" s="2">
        <v>1</v>
      </c>
      <c r="G2582" s="2">
        <v>1</v>
      </c>
      <c r="H2582" s="2">
        <v>1</v>
      </c>
    </row>
    <row r="2583" spans="1:8" x14ac:dyDescent="0.25">
      <c r="A2583" s="1" t="str">
        <f>"19422"</f>
        <v>19422</v>
      </c>
      <c r="B2583" s="1" t="str">
        <f>"33874"</f>
        <v>33874</v>
      </c>
      <c r="C2583" s="1" t="str">
        <f>"BLUE BELL"</f>
        <v>BLUE BELL</v>
      </c>
      <c r="D2583" s="1" t="str">
        <f t="shared" si="184"/>
        <v>PA</v>
      </c>
      <c r="E2583" s="2">
        <v>1</v>
      </c>
      <c r="F2583" s="2">
        <v>1</v>
      </c>
      <c r="G2583" s="2">
        <v>1</v>
      </c>
      <c r="H2583" s="2">
        <v>1</v>
      </c>
    </row>
    <row r="2584" spans="1:8" x14ac:dyDescent="0.25">
      <c r="A2584" s="1" t="str">
        <f>"19475"</f>
        <v>19475</v>
      </c>
      <c r="B2584" s="1" t="str">
        <f>"33874"</f>
        <v>33874</v>
      </c>
      <c r="C2584" s="1" t="str">
        <f>"SPRING CITY"</f>
        <v>SPRING CITY</v>
      </c>
      <c r="D2584" s="1" t="str">
        <f t="shared" si="184"/>
        <v>PA</v>
      </c>
      <c r="E2584" s="2">
        <v>1</v>
      </c>
      <c r="F2584" s="2">
        <v>1</v>
      </c>
      <c r="G2584" s="2">
        <v>1</v>
      </c>
      <c r="H2584" s="2">
        <v>1</v>
      </c>
    </row>
    <row r="2585" spans="1:8" x14ac:dyDescent="0.25">
      <c r="A2585" s="1" t="str">
        <f>"19713"</f>
        <v>19713</v>
      </c>
      <c r="B2585" s="1" t="str">
        <f>"48864"</f>
        <v>48864</v>
      </c>
      <c r="C2585" s="1" t="str">
        <f>"NEWARK"</f>
        <v>NEWARK</v>
      </c>
      <c r="D2585" s="1" t="str">
        <f>"DE"</f>
        <v>DE</v>
      </c>
      <c r="E2585" s="2">
        <v>1</v>
      </c>
      <c r="F2585" s="2">
        <v>1</v>
      </c>
      <c r="G2585" s="2">
        <v>1</v>
      </c>
      <c r="H2585" s="2">
        <v>1</v>
      </c>
    </row>
    <row r="2586" spans="1:8" x14ac:dyDescent="0.25">
      <c r="A2586" s="1" t="str">
        <f>"20613"</f>
        <v>20613</v>
      </c>
      <c r="B2586" s="1" t="str">
        <f>"47894"</f>
        <v>47894</v>
      </c>
      <c r="C2586" s="1" t="str">
        <f>"BRANDYWINE"</f>
        <v>BRANDYWINE</v>
      </c>
      <c r="D2586" s="1" t="str">
        <f>"MD"</f>
        <v>MD</v>
      </c>
      <c r="E2586" s="2">
        <v>1</v>
      </c>
      <c r="F2586" s="2">
        <v>1</v>
      </c>
      <c r="G2586" s="2">
        <v>1</v>
      </c>
      <c r="H2586" s="2">
        <v>1</v>
      </c>
    </row>
    <row r="2587" spans="1:8" x14ac:dyDescent="0.25">
      <c r="A2587" s="1" t="str">
        <f>"20854"</f>
        <v>20854</v>
      </c>
      <c r="B2587" s="1" t="str">
        <f>"23224"</f>
        <v>23224</v>
      </c>
      <c r="C2587" s="1" t="str">
        <f>"POTOMAC"</f>
        <v>POTOMAC</v>
      </c>
      <c r="D2587" s="1" t="str">
        <f>"MD"</f>
        <v>MD</v>
      </c>
      <c r="E2587" s="2">
        <v>1</v>
      </c>
      <c r="F2587" s="2">
        <v>1</v>
      </c>
      <c r="G2587" s="2">
        <v>1</v>
      </c>
      <c r="H2587" s="2">
        <v>1</v>
      </c>
    </row>
    <row r="2588" spans="1:8" x14ac:dyDescent="0.25">
      <c r="A2588" s="1" t="str">
        <f>"20876"</f>
        <v>20876</v>
      </c>
      <c r="B2588" s="1" t="str">
        <f>"23224"</f>
        <v>23224</v>
      </c>
      <c r="C2588" s="1" t="str">
        <f>"GERMANTOWN"</f>
        <v>GERMANTOWN</v>
      </c>
      <c r="D2588" s="1" t="str">
        <f>"MD"</f>
        <v>MD</v>
      </c>
      <c r="E2588" s="2">
        <v>1</v>
      </c>
      <c r="F2588" s="2">
        <v>1</v>
      </c>
      <c r="G2588" s="2">
        <v>1</v>
      </c>
      <c r="H2588" s="2">
        <v>1</v>
      </c>
    </row>
    <row r="2589" spans="1:8" x14ac:dyDescent="0.25">
      <c r="A2589" s="1" t="str">
        <f>"20165"</f>
        <v>20165</v>
      </c>
      <c r="B2589" s="1" t="str">
        <f t="shared" ref="B2589:B2594" si="185">"47894"</f>
        <v>47894</v>
      </c>
      <c r="C2589" s="1" t="str">
        <f>"STERLING"</f>
        <v>STERLING</v>
      </c>
      <c r="D2589" s="1" t="str">
        <f t="shared" ref="D2589:D2594" si="186">"VA"</f>
        <v>VA</v>
      </c>
      <c r="E2589" s="2">
        <v>1</v>
      </c>
      <c r="F2589" s="2">
        <v>1</v>
      </c>
      <c r="G2589" s="2">
        <v>1</v>
      </c>
      <c r="H2589" s="2">
        <v>1</v>
      </c>
    </row>
    <row r="2590" spans="1:8" x14ac:dyDescent="0.25">
      <c r="A2590" s="1" t="str">
        <f>"20155"</f>
        <v>20155</v>
      </c>
      <c r="B2590" s="1" t="str">
        <f t="shared" si="185"/>
        <v>47894</v>
      </c>
      <c r="C2590" s="1" t="str">
        <f>"GAINESVILLE"</f>
        <v>GAINESVILLE</v>
      </c>
      <c r="D2590" s="1" t="str">
        <f t="shared" si="186"/>
        <v>VA</v>
      </c>
      <c r="E2590" s="2">
        <v>1</v>
      </c>
      <c r="F2590" s="2">
        <v>1</v>
      </c>
      <c r="G2590" s="2">
        <v>1</v>
      </c>
      <c r="H2590" s="2">
        <v>1</v>
      </c>
    </row>
    <row r="2591" spans="1:8" x14ac:dyDescent="0.25">
      <c r="A2591" s="1" t="str">
        <f>"22026"</f>
        <v>22026</v>
      </c>
      <c r="B2591" s="1" t="str">
        <f t="shared" si="185"/>
        <v>47894</v>
      </c>
      <c r="C2591" s="1" t="str">
        <f>"DUMFRIES"</f>
        <v>DUMFRIES</v>
      </c>
      <c r="D2591" s="1" t="str">
        <f t="shared" si="186"/>
        <v>VA</v>
      </c>
      <c r="E2591" s="2">
        <v>1</v>
      </c>
      <c r="F2591" s="2">
        <v>1</v>
      </c>
      <c r="G2591" s="2">
        <v>1</v>
      </c>
      <c r="H2591" s="2">
        <v>1</v>
      </c>
    </row>
    <row r="2592" spans="1:8" x14ac:dyDescent="0.25">
      <c r="A2592" s="1" t="str">
        <f>"22401"</f>
        <v>22401</v>
      </c>
      <c r="B2592" s="1" t="str">
        <f t="shared" si="185"/>
        <v>47894</v>
      </c>
      <c r="C2592" s="1" t="str">
        <f>"FREDERICKSBURG"</f>
        <v>FREDERICKSBURG</v>
      </c>
      <c r="D2592" s="1" t="str">
        <f t="shared" si="186"/>
        <v>VA</v>
      </c>
      <c r="E2592" s="2">
        <v>1</v>
      </c>
      <c r="F2592" s="2">
        <v>1</v>
      </c>
      <c r="G2592" s="2">
        <v>1</v>
      </c>
      <c r="H2592" s="2">
        <v>1</v>
      </c>
    </row>
    <row r="2593" spans="1:8" x14ac:dyDescent="0.25">
      <c r="A2593" s="1" t="str">
        <f>"22551"</f>
        <v>22551</v>
      </c>
      <c r="B2593" s="1" t="str">
        <f t="shared" si="185"/>
        <v>47894</v>
      </c>
      <c r="C2593" s="1" t="str">
        <f>"SPOTSYLVANIA"</f>
        <v>SPOTSYLVANIA</v>
      </c>
      <c r="D2593" s="1" t="str">
        <f t="shared" si="186"/>
        <v>VA</v>
      </c>
      <c r="E2593" s="2">
        <v>1</v>
      </c>
      <c r="F2593" s="2">
        <v>1</v>
      </c>
      <c r="G2593" s="2">
        <v>1</v>
      </c>
      <c r="H2593" s="2">
        <v>1</v>
      </c>
    </row>
    <row r="2594" spans="1:8" x14ac:dyDescent="0.25">
      <c r="A2594" s="1" t="str">
        <f>"22701"</f>
        <v>22701</v>
      </c>
      <c r="B2594" s="1" t="str">
        <f t="shared" si="185"/>
        <v>47894</v>
      </c>
      <c r="C2594" s="1" t="str">
        <f>"CULPEPER"</f>
        <v>CULPEPER</v>
      </c>
      <c r="D2594" s="1" t="str">
        <f t="shared" si="186"/>
        <v>VA</v>
      </c>
      <c r="E2594" s="2">
        <v>1</v>
      </c>
      <c r="F2594" s="2">
        <v>1</v>
      </c>
      <c r="G2594" s="2">
        <v>1</v>
      </c>
      <c r="H2594" s="2">
        <v>1</v>
      </c>
    </row>
    <row r="2595" spans="1:8" x14ac:dyDescent="0.25">
      <c r="A2595" s="1" t="str">
        <f>"33016"</f>
        <v>33016</v>
      </c>
      <c r="B2595" s="1" t="str">
        <f>"33124"</f>
        <v>33124</v>
      </c>
      <c r="C2595" s="1" t="str">
        <f>"HIALEAH"</f>
        <v>HIALEAH</v>
      </c>
      <c r="D2595" s="1" t="str">
        <f t="shared" ref="D2595:D2602" si="187">"FL"</f>
        <v>FL</v>
      </c>
      <c r="E2595" s="2">
        <v>1</v>
      </c>
      <c r="F2595" s="2">
        <v>1</v>
      </c>
      <c r="G2595" s="2">
        <v>1</v>
      </c>
      <c r="H2595" s="2">
        <v>1</v>
      </c>
    </row>
    <row r="2596" spans="1:8" x14ac:dyDescent="0.25">
      <c r="A2596" s="1" t="str">
        <f>"33073"</f>
        <v>33073</v>
      </c>
      <c r="B2596" s="1" t="str">
        <f>"22744"</f>
        <v>22744</v>
      </c>
      <c r="C2596" s="1" t="str">
        <f>"POMPANO BEACH"</f>
        <v>POMPANO BEACH</v>
      </c>
      <c r="D2596" s="1" t="str">
        <f t="shared" si="187"/>
        <v>FL</v>
      </c>
      <c r="E2596" s="2">
        <v>1</v>
      </c>
      <c r="F2596" s="2">
        <v>1</v>
      </c>
      <c r="G2596" s="2">
        <v>1</v>
      </c>
      <c r="H2596" s="2">
        <v>1</v>
      </c>
    </row>
    <row r="2597" spans="1:8" x14ac:dyDescent="0.25">
      <c r="A2597" s="1" t="str">
        <f>"33179"</f>
        <v>33179</v>
      </c>
      <c r="B2597" s="1" t="str">
        <f>"22744"</f>
        <v>22744</v>
      </c>
      <c r="C2597" s="1" t="str">
        <f>"MIAMI"</f>
        <v>MIAMI</v>
      </c>
      <c r="D2597" s="1" t="str">
        <f t="shared" si="187"/>
        <v>FL</v>
      </c>
      <c r="E2597" s="2">
        <v>2.1096078880990499E-3</v>
      </c>
      <c r="F2597" s="2">
        <v>1.5625000000000001E-3</v>
      </c>
      <c r="G2597" s="2">
        <v>6.5919578114699996E-4</v>
      </c>
      <c r="H2597" s="2">
        <v>1.9917079912202202E-3</v>
      </c>
    </row>
    <row r="2598" spans="1:8" x14ac:dyDescent="0.25">
      <c r="A2598" s="1" t="str">
        <f>"33179"</f>
        <v>33179</v>
      </c>
      <c r="B2598" s="1" t="str">
        <f>"33124"</f>
        <v>33124</v>
      </c>
      <c r="C2598" s="1" t="str">
        <f>"MIAMI"</f>
        <v>MIAMI</v>
      </c>
      <c r="D2598" s="1" t="str">
        <f t="shared" si="187"/>
        <v>FL</v>
      </c>
      <c r="E2598" s="2">
        <v>0.9978903921119</v>
      </c>
      <c r="F2598" s="2">
        <v>0.99843749999999998</v>
      </c>
      <c r="G2598" s="2">
        <v>0.99934080421885196</v>
      </c>
      <c r="H2598" s="2">
        <v>0.99800829200877905</v>
      </c>
    </row>
    <row r="2599" spans="1:8" x14ac:dyDescent="0.25">
      <c r="A2599" s="1" t="str">
        <f>"33155"</f>
        <v>33155</v>
      </c>
      <c r="B2599" s="1" t="str">
        <f>"33124"</f>
        <v>33124</v>
      </c>
      <c r="C2599" s="1" t="str">
        <f>"MIAMI"</f>
        <v>MIAMI</v>
      </c>
      <c r="D2599" s="1" t="str">
        <f t="shared" si="187"/>
        <v>FL</v>
      </c>
      <c r="E2599" s="2">
        <v>1</v>
      </c>
      <c r="F2599" s="2">
        <v>1</v>
      </c>
      <c r="G2599" s="2">
        <v>1</v>
      </c>
      <c r="H2599" s="2">
        <v>1</v>
      </c>
    </row>
    <row r="2600" spans="1:8" x14ac:dyDescent="0.25">
      <c r="A2600" s="1" t="str">
        <f>"33160"</f>
        <v>33160</v>
      </c>
      <c r="B2600" s="1" t="str">
        <f>"33124"</f>
        <v>33124</v>
      </c>
      <c r="C2600" s="1" t="str">
        <f>"NORTH MIAMI BEACH"</f>
        <v>NORTH MIAMI BEACH</v>
      </c>
      <c r="D2600" s="1" t="str">
        <f t="shared" si="187"/>
        <v>FL</v>
      </c>
      <c r="E2600" s="2">
        <v>1</v>
      </c>
      <c r="F2600" s="2">
        <v>1</v>
      </c>
      <c r="G2600" s="2">
        <v>1</v>
      </c>
      <c r="H2600" s="2">
        <v>1</v>
      </c>
    </row>
    <row r="2601" spans="1:8" x14ac:dyDescent="0.25">
      <c r="A2601" s="1" t="str">
        <f>"33462"</f>
        <v>33462</v>
      </c>
      <c r="B2601" s="1" t="str">
        <f>"48424"</f>
        <v>48424</v>
      </c>
      <c r="C2601" s="1" t="str">
        <f>"LAKE WORTH"</f>
        <v>LAKE WORTH</v>
      </c>
      <c r="D2601" s="1" t="str">
        <f t="shared" si="187"/>
        <v>FL</v>
      </c>
      <c r="E2601" s="2">
        <v>1</v>
      </c>
      <c r="F2601" s="2">
        <v>1</v>
      </c>
      <c r="G2601" s="2">
        <v>1</v>
      </c>
      <c r="H2601" s="2">
        <v>1</v>
      </c>
    </row>
    <row r="2602" spans="1:8" x14ac:dyDescent="0.25">
      <c r="A2602" s="1" t="str">
        <f>"33316"</f>
        <v>33316</v>
      </c>
      <c r="B2602" s="1" t="str">
        <f>"22744"</f>
        <v>22744</v>
      </c>
      <c r="C2602" s="1" t="str">
        <f>"FORT LAUDERDALE"</f>
        <v>FORT LAUDERDALE</v>
      </c>
      <c r="D2602" s="1" t="str">
        <f t="shared" si="187"/>
        <v>FL</v>
      </c>
      <c r="E2602" s="2">
        <v>1</v>
      </c>
      <c r="F2602" s="2">
        <v>1</v>
      </c>
      <c r="G2602" s="2">
        <v>1</v>
      </c>
      <c r="H2602" s="2">
        <v>1</v>
      </c>
    </row>
    <row r="2603" spans="1:8" x14ac:dyDescent="0.25">
      <c r="A2603" s="1" t="str">
        <f>"46308"</f>
        <v>46308</v>
      </c>
      <c r="B2603" s="1" t="str">
        <f>"23844"</f>
        <v>23844</v>
      </c>
      <c r="C2603" s="1" t="str">
        <f>"CROWN POINT"</f>
        <v>CROWN POINT</v>
      </c>
      <c r="D2603" s="1" t="str">
        <f>"IN"</f>
        <v>IN</v>
      </c>
      <c r="E2603" s="2">
        <v>1</v>
      </c>
      <c r="F2603" s="2">
        <v>1</v>
      </c>
      <c r="G2603" s="2">
        <v>1</v>
      </c>
      <c r="H2603" s="2">
        <v>1</v>
      </c>
    </row>
    <row r="2604" spans="1:8" x14ac:dyDescent="0.25">
      <c r="A2604" s="1" t="str">
        <f>"46323"</f>
        <v>46323</v>
      </c>
      <c r="B2604" s="1" t="str">
        <f>"23844"</f>
        <v>23844</v>
      </c>
      <c r="C2604" s="1" t="str">
        <f>"HAMMOND"</f>
        <v>HAMMOND</v>
      </c>
      <c r="D2604" s="1" t="str">
        <f>"IN"</f>
        <v>IN</v>
      </c>
      <c r="E2604" s="2">
        <v>1</v>
      </c>
      <c r="F2604" s="2">
        <v>1</v>
      </c>
      <c r="G2604" s="2">
        <v>1</v>
      </c>
      <c r="H2604" s="2">
        <v>1</v>
      </c>
    </row>
    <row r="2605" spans="1:8" x14ac:dyDescent="0.25">
      <c r="A2605" s="1" t="str">
        <f>"46368"</f>
        <v>46368</v>
      </c>
      <c r="B2605" s="1" t="str">
        <f>"23844"</f>
        <v>23844</v>
      </c>
      <c r="C2605" s="1" t="str">
        <f>"PORTAGE"</f>
        <v>PORTAGE</v>
      </c>
      <c r="D2605" s="1" t="str">
        <f>"IN"</f>
        <v>IN</v>
      </c>
      <c r="E2605" s="2">
        <v>1</v>
      </c>
      <c r="F2605" s="2">
        <v>1</v>
      </c>
      <c r="G2605" s="2">
        <v>1</v>
      </c>
      <c r="H2605" s="2">
        <v>1</v>
      </c>
    </row>
    <row r="2606" spans="1:8" x14ac:dyDescent="0.25">
      <c r="A2606" s="1" t="str">
        <f>"46385"</f>
        <v>46385</v>
      </c>
      <c r="B2606" s="1" t="str">
        <f>"23844"</f>
        <v>23844</v>
      </c>
      <c r="C2606" s="1" t="str">
        <f>"VALPARAISO"</f>
        <v>VALPARAISO</v>
      </c>
      <c r="D2606" s="1" t="str">
        <f>"IN"</f>
        <v>IN</v>
      </c>
      <c r="E2606" s="2">
        <v>1</v>
      </c>
      <c r="F2606" s="2">
        <v>1</v>
      </c>
      <c r="G2606" s="2">
        <v>1</v>
      </c>
      <c r="H2606" s="2">
        <v>1</v>
      </c>
    </row>
    <row r="2607" spans="1:8" x14ac:dyDescent="0.25">
      <c r="A2607" s="1" t="str">
        <f>"48033"</f>
        <v>48033</v>
      </c>
      <c r="B2607" s="1" t="str">
        <f>"47664"</f>
        <v>47664</v>
      </c>
      <c r="C2607" s="1" t="str">
        <f>"SOUTHFIELD"</f>
        <v>SOUTHFIELD</v>
      </c>
      <c r="D2607" s="1" t="str">
        <f t="shared" ref="D2607:D2614" si="188">"MI"</f>
        <v>MI</v>
      </c>
      <c r="E2607" s="2">
        <v>1</v>
      </c>
      <c r="F2607" s="2">
        <v>1</v>
      </c>
      <c r="G2607" s="2">
        <v>1</v>
      </c>
      <c r="H2607" s="2">
        <v>1</v>
      </c>
    </row>
    <row r="2608" spans="1:8" x14ac:dyDescent="0.25">
      <c r="A2608" s="1" t="str">
        <f>"48048"</f>
        <v>48048</v>
      </c>
      <c r="B2608" s="1" t="str">
        <f>"47664"</f>
        <v>47664</v>
      </c>
      <c r="C2608" s="1" t="str">
        <f>"NEW HAVEN"</f>
        <v>NEW HAVEN</v>
      </c>
      <c r="D2608" s="1" t="str">
        <f t="shared" si="188"/>
        <v>MI</v>
      </c>
      <c r="E2608" s="2">
        <v>1</v>
      </c>
      <c r="F2608" s="2">
        <v>1</v>
      </c>
      <c r="G2608" s="2">
        <v>1</v>
      </c>
      <c r="H2608" s="2">
        <v>1</v>
      </c>
    </row>
    <row r="2609" spans="1:8" x14ac:dyDescent="0.25">
      <c r="A2609" s="1" t="str">
        <f>"48076"</f>
        <v>48076</v>
      </c>
      <c r="B2609" s="1" t="str">
        <f>"47664"</f>
        <v>47664</v>
      </c>
      <c r="C2609" s="1" t="str">
        <f>"SOUTHFIELD"</f>
        <v>SOUTHFIELD</v>
      </c>
      <c r="D2609" s="1" t="str">
        <f t="shared" si="188"/>
        <v>MI</v>
      </c>
      <c r="E2609" s="2">
        <v>1</v>
      </c>
      <c r="F2609" s="2">
        <v>1</v>
      </c>
      <c r="G2609" s="2">
        <v>1</v>
      </c>
      <c r="H2609" s="2">
        <v>1</v>
      </c>
    </row>
    <row r="2610" spans="1:8" x14ac:dyDescent="0.25">
      <c r="A2610" s="1" t="str">
        <f>"48075"</f>
        <v>48075</v>
      </c>
      <c r="B2610" s="1" t="str">
        <f>"47664"</f>
        <v>47664</v>
      </c>
      <c r="C2610" s="1" t="str">
        <f>"SOUTHFIELD"</f>
        <v>SOUTHFIELD</v>
      </c>
      <c r="D2610" s="1" t="str">
        <f t="shared" si="188"/>
        <v>MI</v>
      </c>
      <c r="E2610" s="2">
        <v>1</v>
      </c>
      <c r="F2610" s="2">
        <v>1</v>
      </c>
      <c r="G2610" s="2">
        <v>1</v>
      </c>
      <c r="H2610" s="2">
        <v>1</v>
      </c>
    </row>
    <row r="2611" spans="1:8" x14ac:dyDescent="0.25">
      <c r="A2611" s="1" t="str">
        <f>"48324"</f>
        <v>48324</v>
      </c>
      <c r="B2611" s="1" t="str">
        <f>"47664"</f>
        <v>47664</v>
      </c>
      <c r="C2611" s="1" t="str">
        <f>"WEST BLOOMFIELD"</f>
        <v>WEST BLOOMFIELD</v>
      </c>
      <c r="D2611" s="1" t="str">
        <f t="shared" si="188"/>
        <v>MI</v>
      </c>
      <c r="E2611" s="2">
        <v>1</v>
      </c>
      <c r="F2611" s="2">
        <v>1</v>
      </c>
      <c r="G2611" s="2">
        <v>1</v>
      </c>
      <c r="H2611" s="2">
        <v>1</v>
      </c>
    </row>
    <row r="2612" spans="1:8" x14ac:dyDescent="0.25">
      <c r="A2612" s="1" t="str">
        <f>"48238"</f>
        <v>48238</v>
      </c>
      <c r="B2612" s="1" t="str">
        <f>"19804"</f>
        <v>19804</v>
      </c>
      <c r="C2612" s="1" t="str">
        <f>"DETROIT"</f>
        <v>DETROIT</v>
      </c>
      <c r="D2612" s="1" t="str">
        <f t="shared" si="188"/>
        <v>MI</v>
      </c>
      <c r="E2612" s="2">
        <v>1</v>
      </c>
      <c r="F2612" s="2">
        <v>1</v>
      </c>
      <c r="G2612" s="2">
        <v>1</v>
      </c>
      <c r="H2612" s="2">
        <v>1</v>
      </c>
    </row>
    <row r="2613" spans="1:8" x14ac:dyDescent="0.25">
      <c r="A2613" s="1" t="str">
        <f>"48174"</f>
        <v>48174</v>
      </c>
      <c r="B2613" s="1" t="str">
        <f>"19804"</f>
        <v>19804</v>
      </c>
      <c r="C2613" s="1" t="str">
        <f>"ROMULUS"</f>
        <v>ROMULUS</v>
      </c>
      <c r="D2613" s="1" t="str">
        <f t="shared" si="188"/>
        <v>MI</v>
      </c>
      <c r="E2613" s="2">
        <v>1</v>
      </c>
      <c r="F2613" s="2">
        <v>1</v>
      </c>
      <c r="G2613" s="2">
        <v>1</v>
      </c>
      <c r="H2613" s="2">
        <v>1</v>
      </c>
    </row>
    <row r="2614" spans="1:8" x14ac:dyDescent="0.25">
      <c r="A2614" s="1" t="str">
        <f>"48101"</f>
        <v>48101</v>
      </c>
      <c r="B2614" s="1" t="str">
        <f>"19804"</f>
        <v>19804</v>
      </c>
      <c r="C2614" s="1" t="str">
        <f>"ALLEN PARK"</f>
        <v>ALLEN PARK</v>
      </c>
      <c r="D2614" s="1" t="str">
        <f t="shared" si="188"/>
        <v>MI</v>
      </c>
      <c r="E2614" s="2">
        <v>1</v>
      </c>
      <c r="F2614" s="2">
        <v>1</v>
      </c>
      <c r="G2614" s="2">
        <v>1</v>
      </c>
      <c r="H2614" s="2">
        <v>1</v>
      </c>
    </row>
    <row r="2615" spans="1:8" x14ac:dyDescent="0.25">
      <c r="A2615" s="1" t="str">
        <f>"60402"</f>
        <v>60402</v>
      </c>
      <c r="B2615" s="1" t="str">
        <f t="shared" ref="B2615:B2621" si="189">"16984"</f>
        <v>16984</v>
      </c>
      <c r="C2615" s="1" t="str">
        <f>"BERWYN"</f>
        <v>BERWYN</v>
      </c>
      <c r="D2615" s="1" t="str">
        <f t="shared" ref="D2615:D2621" si="190">"IL"</f>
        <v>IL</v>
      </c>
      <c r="E2615" s="2">
        <v>1</v>
      </c>
      <c r="F2615" s="2">
        <v>1</v>
      </c>
      <c r="G2615" s="2">
        <v>1</v>
      </c>
      <c r="H2615" s="2">
        <v>1</v>
      </c>
    </row>
    <row r="2616" spans="1:8" x14ac:dyDescent="0.25">
      <c r="A2616" s="1" t="str">
        <f>"60461"</f>
        <v>60461</v>
      </c>
      <c r="B2616" s="1" t="str">
        <f t="shared" si="189"/>
        <v>16984</v>
      </c>
      <c r="C2616" s="1" t="str">
        <f>"OLYMPIA FIELDS"</f>
        <v>OLYMPIA FIELDS</v>
      </c>
      <c r="D2616" s="1" t="str">
        <f t="shared" si="190"/>
        <v>IL</v>
      </c>
      <c r="E2616" s="2">
        <v>1</v>
      </c>
      <c r="F2616" s="2">
        <v>1</v>
      </c>
      <c r="G2616" s="2">
        <v>1</v>
      </c>
      <c r="H2616" s="2">
        <v>1</v>
      </c>
    </row>
    <row r="2617" spans="1:8" x14ac:dyDescent="0.25">
      <c r="A2617" s="1" t="str">
        <f>"60546"</f>
        <v>60546</v>
      </c>
      <c r="B2617" s="1" t="str">
        <f t="shared" si="189"/>
        <v>16984</v>
      </c>
      <c r="C2617" s="1" t="str">
        <f>"RIVERSIDE"</f>
        <v>RIVERSIDE</v>
      </c>
      <c r="D2617" s="1" t="str">
        <f t="shared" si="190"/>
        <v>IL</v>
      </c>
      <c r="E2617" s="2">
        <v>1</v>
      </c>
      <c r="F2617" s="2">
        <v>1</v>
      </c>
      <c r="G2617" s="2">
        <v>1</v>
      </c>
      <c r="H2617" s="2">
        <v>1</v>
      </c>
    </row>
    <row r="2618" spans="1:8" x14ac:dyDescent="0.25">
      <c r="A2618" s="1" t="str">
        <f>"60189"</f>
        <v>60189</v>
      </c>
      <c r="B2618" s="1" t="str">
        <f t="shared" si="189"/>
        <v>16984</v>
      </c>
      <c r="C2618" s="1" t="str">
        <f>"WHEATON"</f>
        <v>WHEATON</v>
      </c>
      <c r="D2618" s="1" t="str">
        <f t="shared" si="190"/>
        <v>IL</v>
      </c>
      <c r="E2618" s="2">
        <v>1</v>
      </c>
      <c r="F2618" s="2">
        <v>1</v>
      </c>
      <c r="G2618" s="2">
        <v>1</v>
      </c>
      <c r="H2618" s="2">
        <v>1</v>
      </c>
    </row>
    <row r="2619" spans="1:8" x14ac:dyDescent="0.25">
      <c r="A2619" s="1" t="str">
        <f>"60655"</f>
        <v>60655</v>
      </c>
      <c r="B2619" s="1" t="str">
        <f t="shared" si="189"/>
        <v>16984</v>
      </c>
      <c r="C2619" s="1" t="str">
        <f>"CHICAGO"</f>
        <v>CHICAGO</v>
      </c>
      <c r="D2619" s="1" t="str">
        <f t="shared" si="190"/>
        <v>IL</v>
      </c>
      <c r="E2619" s="2">
        <v>1</v>
      </c>
      <c r="F2619" s="2">
        <v>1</v>
      </c>
      <c r="G2619" s="2">
        <v>1</v>
      </c>
      <c r="H2619" s="2">
        <v>1</v>
      </c>
    </row>
    <row r="2620" spans="1:8" x14ac:dyDescent="0.25">
      <c r="A2620" s="1" t="str">
        <f>"60303"</f>
        <v>60303</v>
      </c>
      <c r="B2620" s="1" t="str">
        <f t="shared" si="189"/>
        <v>16984</v>
      </c>
      <c r="C2620" s="1" t="str">
        <f>"OAK PARK"</f>
        <v>OAK PARK</v>
      </c>
      <c r="D2620" s="1" t="str">
        <f t="shared" si="190"/>
        <v>IL</v>
      </c>
      <c r="E2620" s="2">
        <v>1</v>
      </c>
      <c r="F2620" s="2">
        <v>1</v>
      </c>
      <c r="G2620" s="2">
        <v>1</v>
      </c>
      <c r="H2620" s="2">
        <v>1</v>
      </c>
    </row>
    <row r="2621" spans="1:8" x14ac:dyDescent="0.25">
      <c r="A2621" s="1" t="str">
        <f>"60636"</f>
        <v>60636</v>
      </c>
      <c r="B2621" s="1" t="str">
        <f t="shared" si="189"/>
        <v>16984</v>
      </c>
      <c r="C2621" s="1" t="str">
        <f>"CHICAGO"</f>
        <v>CHICAGO</v>
      </c>
      <c r="D2621" s="1" t="str">
        <f t="shared" si="190"/>
        <v>IL</v>
      </c>
      <c r="E2621" s="2">
        <v>1</v>
      </c>
      <c r="F2621" s="2">
        <v>1</v>
      </c>
      <c r="G2621" s="2">
        <v>1</v>
      </c>
      <c r="H2621" s="2">
        <v>1</v>
      </c>
    </row>
    <row r="2622" spans="1:8" x14ac:dyDescent="0.25">
      <c r="A2622" s="1" t="str">
        <f>"75040"</f>
        <v>75040</v>
      </c>
      <c r="B2622" s="1" t="str">
        <f>"19124"</f>
        <v>19124</v>
      </c>
      <c r="C2622" s="1" t="str">
        <f>"GARLAND"</f>
        <v>GARLAND</v>
      </c>
      <c r="D2622" s="1" t="str">
        <f>"TX"</f>
        <v>TX</v>
      </c>
      <c r="E2622" s="2">
        <v>1</v>
      </c>
      <c r="F2622" s="2">
        <v>1</v>
      </c>
      <c r="G2622" s="2">
        <v>1</v>
      </c>
      <c r="H2622" s="2">
        <v>1</v>
      </c>
    </row>
    <row r="2623" spans="1:8" x14ac:dyDescent="0.25">
      <c r="A2623" s="1" t="str">
        <f>"75495"</f>
        <v>75495</v>
      </c>
      <c r="B2623" s="1" t="str">
        <f>"19124"</f>
        <v>19124</v>
      </c>
      <c r="C2623" s="1" t="str">
        <f>"VAN ALSTYNE"</f>
        <v>VAN ALSTYNE</v>
      </c>
      <c r="D2623" s="1" t="str">
        <f>"TX"</f>
        <v>TX</v>
      </c>
      <c r="E2623" s="2">
        <v>1</v>
      </c>
      <c r="F2623" s="2">
        <v>1</v>
      </c>
      <c r="G2623" s="2">
        <v>0</v>
      </c>
      <c r="H2623" s="2">
        <v>1</v>
      </c>
    </row>
    <row r="2624" spans="1:8" x14ac:dyDescent="0.25">
      <c r="A2624" s="1" t="str">
        <f>"76013"</f>
        <v>76013</v>
      </c>
      <c r="B2624" s="1" t="str">
        <f>"23104"</f>
        <v>23104</v>
      </c>
      <c r="C2624" s="1" t="str">
        <f>"ARLINGTON"</f>
        <v>ARLINGTON</v>
      </c>
      <c r="D2624" s="1" t="str">
        <f>"TX"</f>
        <v>TX</v>
      </c>
      <c r="E2624" s="2">
        <v>1</v>
      </c>
      <c r="F2624" s="2">
        <v>1</v>
      </c>
      <c r="G2624" s="2">
        <v>1</v>
      </c>
      <c r="H2624" s="2">
        <v>1</v>
      </c>
    </row>
    <row r="2625" spans="1:8" x14ac:dyDescent="0.25">
      <c r="A2625" s="1" t="str">
        <f>"76110"</f>
        <v>76110</v>
      </c>
      <c r="B2625" s="1" t="str">
        <f>"23104"</f>
        <v>23104</v>
      </c>
      <c r="C2625" s="1" t="str">
        <f>"FORT WORTH"</f>
        <v>FORT WORTH</v>
      </c>
      <c r="D2625" s="1" t="str">
        <f>"TX"</f>
        <v>TX</v>
      </c>
      <c r="E2625" s="2">
        <v>1</v>
      </c>
      <c r="F2625" s="2">
        <v>1</v>
      </c>
      <c r="G2625" s="2">
        <v>1</v>
      </c>
      <c r="H2625" s="2">
        <v>1</v>
      </c>
    </row>
    <row r="2626" spans="1:8" x14ac:dyDescent="0.25">
      <c r="A2626" s="1" t="str">
        <f>"76431"</f>
        <v>76431</v>
      </c>
      <c r="B2626" s="1" t="str">
        <f>"23104"</f>
        <v>23104</v>
      </c>
      <c r="C2626" s="1" t="str">
        <f>"CHICO"</f>
        <v>CHICO</v>
      </c>
      <c r="D2626" s="1" t="str">
        <f>"TX"</f>
        <v>TX</v>
      </c>
      <c r="E2626" s="2">
        <v>1</v>
      </c>
      <c r="F2626" s="2">
        <v>1</v>
      </c>
      <c r="G2626" s="2">
        <v>1</v>
      </c>
      <c r="H2626" s="2">
        <v>1</v>
      </c>
    </row>
    <row r="2627" spans="1:8" x14ac:dyDescent="0.25">
      <c r="A2627" s="1" t="str">
        <f>"90230"</f>
        <v>90230</v>
      </c>
      <c r="B2627" s="1" t="str">
        <f t="shared" ref="B2627:B2633" si="191">"31084"</f>
        <v>31084</v>
      </c>
      <c r="C2627" s="1" t="str">
        <f>"CULVER CITY"</f>
        <v>CULVER CITY</v>
      </c>
      <c r="D2627" s="1" t="str">
        <f t="shared" ref="D2627:D2650" si="192">"CA"</f>
        <v>CA</v>
      </c>
      <c r="E2627" s="2">
        <v>1</v>
      </c>
      <c r="F2627" s="2">
        <v>1</v>
      </c>
      <c r="G2627" s="2">
        <v>1</v>
      </c>
      <c r="H2627" s="2">
        <v>1</v>
      </c>
    </row>
    <row r="2628" spans="1:8" x14ac:dyDescent="0.25">
      <c r="A2628" s="1" t="str">
        <f>"90231"</f>
        <v>90231</v>
      </c>
      <c r="B2628" s="1" t="str">
        <f t="shared" si="191"/>
        <v>31084</v>
      </c>
      <c r="C2628" s="1" t="str">
        <f>"CULVER CITY"</f>
        <v>CULVER CITY</v>
      </c>
      <c r="D2628" s="1" t="str">
        <f t="shared" si="192"/>
        <v>CA</v>
      </c>
      <c r="E2628" s="2">
        <v>1</v>
      </c>
      <c r="F2628" s="2">
        <v>1</v>
      </c>
      <c r="G2628" s="2">
        <v>1</v>
      </c>
      <c r="H2628" s="2">
        <v>1</v>
      </c>
    </row>
    <row r="2629" spans="1:8" x14ac:dyDescent="0.25">
      <c r="A2629" s="1" t="str">
        <f>"90086"</f>
        <v>90086</v>
      </c>
      <c r="B2629" s="1" t="str">
        <f t="shared" si="191"/>
        <v>31084</v>
      </c>
      <c r="C2629" s="1" t="str">
        <f>"LOS ANGELES"</f>
        <v>LOS ANGELES</v>
      </c>
      <c r="D2629" s="1" t="str">
        <f t="shared" si="192"/>
        <v>CA</v>
      </c>
      <c r="E2629" s="2">
        <v>1</v>
      </c>
      <c r="F2629" s="2">
        <v>1</v>
      </c>
      <c r="G2629" s="2">
        <v>1</v>
      </c>
      <c r="H2629" s="2">
        <v>1</v>
      </c>
    </row>
    <row r="2630" spans="1:8" x14ac:dyDescent="0.25">
      <c r="A2630" s="1" t="str">
        <f>"91380"</f>
        <v>91380</v>
      </c>
      <c r="B2630" s="1" t="str">
        <f t="shared" si="191"/>
        <v>31084</v>
      </c>
      <c r="C2630" s="1" t="str">
        <f>"SANTA CLARITA"</f>
        <v>SANTA CLARITA</v>
      </c>
      <c r="D2630" s="1" t="str">
        <f t="shared" si="192"/>
        <v>CA</v>
      </c>
      <c r="E2630" s="2">
        <v>1</v>
      </c>
      <c r="F2630" s="2">
        <v>1</v>
      </c>
      <c r="G2630" s="2">
        <v>1</v>
      </c>
      <c r="H2630" s="2">
        <v>1</v>
      </c>
    </row>
    <row r="2631" spans="1:8" x14ac:dyDescent="0.25">
      <c r="A2631" s="1" t="str">
        <f>"90814"</f>
        <v>90814</v>
      </c>
      <c r="B2631" s="1" t="str">
        <f t="shared" si="191"/>
        <v>31084</v>
      </c>
      <c r="C2631" s="1" t="str">
        <f>"LONG BEACH"</f>
        <v>LONG BEACH</v>
      </c>
      <c r="D2631" s="1" t="str">
        <f t="shared" si="192"/>
        <v>CA</v>
      </c>
      <c r="E2631" s="2">
        <v>1</v>
      </c>
      <c r="F2631" s="2">
        <v>1</v>
      </c>
      <c r="G2631" s="2">
        <v>1</v>
      </c>
      <c r="H2631" s="2">
        <v>1</v>
      </c>
    </row>
    <row r="2632" spans="1:8" x14ac:dyDescent="0.25">
      <c r="A2632" s="1" t="str">
        <f>"91301"</f>
        <v>91301</v>
      </c>
      <c r="B2632" s="1" t="str">
        <f t="shared" si="191"/>
        <v>31084</v>
      </c>
      <c r="C2632" s="1" t="str">
        <f>"AGOURA HILLS"</f>
        <v>AGOURA HILLS</v>
      </c>
      <c r="D2632" s="1" t="str">
        <f t="shared" si="192"/>
        <v>CA</v>
      </c>
      <c r="E2632" s="2">
        <v>1</v>
      </c>
      <c r="F2632" s="2">
        <v>1</v>
      </c>
      <c r="G2632" s="2">
        <v>1</v>
      </c>
      <c r="H2632" s="2">
        <v>1</v>
      </c>
    </row>
    <row r="2633" spans="1:8" x14ac:dyDescent="0.25">
      <c r="A2633" s="1" t="str">
        <f>"91311"</f>
        <v>91311</v>
      </c>
      <c r="B2633" s="1" t="str">
        <f t="shared" si="191"/>
        <v>31084</v>
      </c>
      <c r="C2633" s="1" t="str">
        <f>"CHATSWORTH"</f>
        <v>CHATSWORTH</v>
      </c>
      <c r="D2633" s="1" t="str">
        <f t="shared" si="192"/>
        <v>CA</v>
      </c>
      <c r="E2633" s="2">
        <v>1</v>
      </c>
      <c r="F2633" s="2">
        <v>1</v>
      </c>
      <c r="G2633" s="2">
        <v>1</v>
      </c>
      <c r="H2633" s="2">
        <v>1</v>
      </c>
    </row>
    <row r="2634" spans="1:8" x14ac:dyDescent="0.25">
      <c r="A2634" s="1" t="str">
        <f>"90621"</f>
        <v>90621</v>
      </c>
      <c r="B2634" s="1" t="str">
        <f>"11244"</f>
        <v>11244</v>
      </c>
      <c r="C2634" s="1" t="str">
        <f>"BUENA PARK"</f>
        <v>BUENA PARK</v>
      </c>
      <c r="D2634" s="1" t="str">
        <f t="shared" si="192"/>
        <v>CA</v>
      </c>
      <c r="E2634" s="2">
        <v>1</v>
      </c>
      <c r="F2634" s="2">
        <v>1</v>
      </c>
      <c r="G2634" s="2">
        <v>1</v>
      </c>
      <c r="H2634" s="2">
        <v>1</v>
      </c>
    </row>
    <row r="2635" spans="1:8" x14ac:dyDescent="0.25">
      <c r="A2635" s="1" t="str">
        <f>"90505"</f>
        <v>90505</v>
      </c>
      <c r="B2635" s="1" t="str">
        <f t="shared" ref="B2635:B2640" si="193">"31084"</f>
        <v>31084</v>
      </c>
      <c r="C2635" s="1" t="str">
        <f>"TORRANCE"</f>
        <v>TORRANCE</v>
      </c>
      <c r="D2635" s="1" t="str">
        <f t="shared" si="192"/>
        <v>CA</v>
      </c>
      <c r="E2635" s="2">
        <v>1</v>
      </c>
      <c r="F2635" s="2">
        <v>1</v>
      </c>
      <c r="G2635" s="2">
        <v>1</v>
      </c>
      <c r="H2635" s="2">
        <v>1</v>
      </c>
    </row>
    <row r="2636" spans="1:8" x14ac:dyDescent="0.25">
      <c r="A2636" s="1" t="str">
        <f>"90604"</f>
        <v>90604</v>
      </c>
      <c r="B2636" s="1" t="str">
        <f t="shared" si="193"/>
        <v>31084</v>
      </c>
      <c r="C2636" s="1" t="str">
        <f>"WHITTIER"</f>
        <v>WHITTIER</v>
      </c>
      <c r="D2636" s="1" t="str">
        <f t="shared" si="192"/>
        <v>CA</v>
      </c>
      <c r="E2636" s="2">
        <v>1</v>
      </c>
      <c r="F2636" s="2">
        <v>1</v>
      </c>
      <c r="G2636" s="2">
        <v>1</v>
      </c>
      <c r="H2636" s="2">
        <v>1</v>
      </c>
    </row>
    <row r="2637" spans="1:8" x14ac:dyDescent="0.25">
      <c r="A2637" s="1" t="str">
        <f>"93532"</f>
        <v>93532</v>
      </c>
      <c r="B2637" s="1" t="str">
        <f t="shared" si="193"/>
        <v>31084</v>
      </c>
      <c r="C2637" s="1" t="str">
        <f>"LAKE HUGHES"</f>
        <v>LAKE HUGHES</v>
      </c>
      <c r="D2637" s="1" t="str">
        <f t="shared" si="192"/>
        <v>CA</v>
      </c>
      <c r="E2637" s="2">
        <v>1</v>
      </c>
      <c r="F2637" s="2">
        <v>1</v>
      </c>
      <c r="G2637" s="2">
        <v>1</v>
      </c>
      <c r="H2637" s="2">
        <v>1</v>
      </c>
    </row>
    <row r="2638" spans="1:8" x14ac:dyDescent="0.25">
      <c r="A2638" s="1" t="str">
        <f>"93584"</f>
        <v>93584</v>
      </c>
      <c r="B2638" s="1" t="str">
        <f t="shared" si="193"/>
        <v>31084</v>
      </c>
      <c r="C2638" s="1" t="str">
        <f>"LANCASTER"</f>
        <v>LANCASTER</v>
      </c>
      <c r="D2638" s="1" t="str">
        <f t="shared" si="192"/>
        <v>CA</v>
      </c>
      <c r="E2638" s="2">
        <v>1</v>
      </c>
      <c r="F2638" s="2">
        <v>1</v>
      </c>
      <c r="G2638" s="2">
        <v>1</v>
      </c>
      <c r="H2638" s="2">
        <v>1</v>
      </c>
    </row>
    <row r="2639" spans="1:8" x14ac:dyDescent="0.25">
      <c r="A2639" s="1" t="str">
        <f>"91107"</f>
        <v>91107</v>
      </c>
      <c r="B2639" s="1" t="str">
        <f t="shared" si="193"/>
        <v>31084</v>
      </c>
      <c r="C2639" s="1" t="str">
        <f>"PASADENA"</f>
        <v>PASADENA</v>
      </c>
      <c r="D2639" s="1" t="str">
        <f t="shared" si="192"/>
        <v>CA</v>
      </c>
      <c r="E2639" s="2">
        <v>1</v>
      </c>
      <c r="F2639" s="2">
        <v>1</v>
      </c>
      <c r="G2639" s="2">
        <v>1</v>
      </c>
      <c r="H2639" s="2">
        <v>1</v>
      </c>
    </row>
    <row r="2640" spans="1:8" x14ac:dyDescent="0.25">
      <c r="A2640" s="1" t="str">
        <f>"91010"</f>
        <v>91010</v>
      </c>
      <c r="B2640" s="1" t="str">
        <f t="shared" si="193"/>
        <v>31084</v>
      </c>
      <c r="C2640" s="1" t="str">
        <f>"DUARTE"</f>
        <v>DUARTE</v>
      </c>
      <c r="D2640" s="1" t="str">
        <f t="shared" si="192"/>
        <v>CA</v>
      </c>
      <c r="E2640" s="2">
        <v>1</v>
      </c>
      <c r="F2640" s="2">
        <v>1</v>
      </c>
      <c r="G2640" s="2">
        <v>1</v>
      </c>
      <c r="H2640" s="2">
        <v>1</v>
      </c>
    </row>
    <row r="2641" spans="1:8" x14ac:dyDescent="0.25">
      <c r="A2641" s="1" t="str">
        <f>"92806"</f>
        <v>92806</v>
      </c>
      <c r="B2641" s="1" t="str">
        <f>"11244"</f>
        <v>11244</v>
      </c>
      <c r="C2641" s="1" t="str">
        <f>"ANAHEIM"</f>
        <v>ANAHEIM</v>
      </c>
      <c r="D2641" s="1" t="str">
        <f t="shared" si="192"/>
        <v>CA</v>
      </c>
      <c r="E2641" s="2">
        <v>1</v>
      </c>
      <c r="F2641" s="2">
        <v>1</v>
      </c>
      <c r="G2641" s="2">
        <v>1</v>
      </c>
      <c r="H2641" s="2">
        <v>1</v>
      </c>
    </row>
    <row r="2642" spans="1:8" x14ac:dyDescent="0.25">
      <c r="A2642" s="1" t="str">
        <f>"92675"</f>
        <v>92675</v>
      </c>
      <c r="B2642" s="1" t="str">
        <f>"11244"</f>
        <v>11244</v>
      </c>
      <c r="C2642" s="1" t="str">
        <f>"SAN JUAN CAPISTRANO"</f>
        <v>SAN JUAN CAPISTRANO</v>
      </c>
      <c r="D2642" s="1" t="str">
        <f t="shared" si="192"/>
        <v>CA</v>
      </c>
      <c r="E2642" s="2">
        <v>1</v>
      </c>
      <c r="F2642" s="2">
        <v>1</v>
      </c>
      <c r="G2642" s="2">
        <v>1</v>
      </c>
      <c r="H2642" s="2">
        <v>1</v>
      </c>
    </row>
    <row r="2643" spans="1:8" x14ac:dyDescent="0.25">
      <c r="A2643" s="1" t="str">
        <f>"91731"</f>
        <v>91731</v>
      </c>
      <c r="B2643" s="1" t="str">
        <f>"31084"</f>
        <v>31084</v>
      </c>
      <c r="C2643" s="1" t="str">
        <f>"EL MONTE"</f>
        <v>EL MONTE</v>
      </c>
      <c r="D2643" s="1" t="str">
        <f t="shared" si="192"/>
        <v>CA</v>
      </c>
      <c r="E2643" s="2">
        <v>1</v>
      </c>
      <c r="F2643" s="2">
        <v>1</v>
      </c>
      <c r="G2643" s="2">
        <v>1</v>
      </c>
      <c r="H2643" s="2">
        <v>1</v>
      </c>
    </row>
    <row r="2644" spans="1:8" x14ac:dyDescent="0.25">
      <c r="A2644" s="1" t="str">
        <f>"92859"</f>
        <v>92859</v>
      </c>
      <c r="B2644" s="1" t="str">
        <f>"11244"</f>
        <v>11244</v>
      </c>
      <c r="C2644" s="1" t="str">
        <f>"ORANGE"</f>
        <v>ORANGE</v>
      </c>
      <c r="D2644" s="1" t="str">
        <f t="shared" si="192"/>
        <v>CA</v>
      </c>
      <c r="E2644" s="2">
        <v>1</v>
      </c>
      <c r="F2644" s="2">
        <v>1</v>
      </c>
      <c r="G2644" s="2">
        <v>1</v>
      </c>
      <c r="H2644" s="2">
        <v>1</v>
      </c>
    </row>
    <row r="2645" spans="1:8" x14ac:dyDescent="0.25">
      <c r="A2645" s="1" t="str">
        <f>"92615"</f>
        <v>92615</v>
      </c>
      <c r="B2645" s="1" t="str">
        <f>"11244"</f>
        <v>11244</v>
      </c>
      <c r="C2645" s="1" t="str">
        <f>"HUNTINGTON BEACH"</f>
        <v>HUNTINGTON BEACH</v>
      </c>
      <c r="D2645" s="1" t="str">
        <f t="shared" si="192"/>
        <v>CA</v>
      </c>
      <c r="E2645" s="2">
        <v>1</v>
      </c>
      <c r="F2645" s="2">
        <v>1</v>
      </c>
      <c r="G2645" s="2">
        <v>1</v>
      </c>
      <c r="H2645" s="2">
        <v>1</v>
      </c>
    </row>
    <row r="2646" spans="1:8" x14ac:dyDescent="0.25">
      <c r="A2646" s="1" t="str">
        <f>"94530"</f>
        <v>94530</v>
      </c>
      <c r="B2646" s="1" t="str">
        <f>"36084"</f>
        <v>36084</v>
      </c>
      <c r="C2646" s="1" t="str">
        <f>"EL CERRITO"</f>
        <v>EL CERRITO</v>
      </c>
      <c r="D2646" s="1" t="str">
        <f t="shared" si="192"/>
        <v>CA</v>
      </c>
      <c r="E2646" s="2">
        <v>1</v>
      </c>
      <c r="F2646" s="2">
        <v>1</v>
      </c>
      <c r="G2646" s="2">
        <v>1</v>
      </c>
      <c r="H2646" s="2">
        <v>1</v>
      </c>
    </row>
    <row r="2647" spans="1:8" x14ac:dyDescent="0.25">
      <c r="A2647" s="1" t="str">
        <f>"94960"</f>
        <v>94960</v>
      </c>
      <c r="B2647" s="1" t="str">
        <f>"42034"</f>
        <v>42034</v>
      </c>
      <c r="C2647" s="1" t="str">
        <f>"SAN ANSELMO"</f>
        <v>SAN ANSELMO</v>
      </c>
      <c r="D2647" s="1" t="str">
        <f t="shared" si="192"/>
        <v>CA</v>
      </c>
      <c r="E2647" s="2">
        <v>1</v>
      </c>
      <c r="F2647" s="2">
        <v>1</v>
      </c>
      <c r="G2647" s="2">
        <v>1</v>
      </c>
      <c r="H2647" s="2">
        <v>1</v>
      </c>
    </row>
    <row r="2648" spans="1:8" x14ac:dyDescent="0.25">
      <c r="A2648" s="1" t="str">
        <f>"94134"</f>
        <v>94134</v>
      </c>
      <c r="B2648" s="1" t="str">
        <f>"41884"</f>
        <v>41884</v>
      </c>
      <c r="C2648" s="1" t="str">
        <f>"SAN FRANCISCO"</f>
        <v>SAN FRANCISCO</v>
      </c>
      <c r="D2648" s="1" t="str">
        <f t="shared" si="192"/>
        <v>CA</v>
      </c>
      <c r="E2648" s="2">
        <v>1</v>
      </c>
      <c r="F2648" s="2">
        <v>1</v>
      </c>
      <c r="G2648" s="2">
        <v>1</v>
      </c>
      <c r="H2648" s="2">
        <v>1</v>
      </c>
    </row>
    <row r="2649" spans="1:8" x14ac:dyDescent="0.25">
      <c r="A2649" s="1" t="str">
        <f>"94710"</f>
        <v>94710</v>
      </c>
      <c r="B2649" s="1" t="str">
        <f>"36084"</f>
        <v>36084</v>
      </c>
      <c r="C2649" s="1" t="str">
        <f>"BERKELEY"</f>
        <v>BERKELEY</v>
      </c>
      <c r="D2649" s="1" t="str">
        <f t="shared" si="192"/>
        <v>CA</v>
      </c>
      <c r="E2649" s="2">
        <v>1</v>
      </c>
      <c r="F2649" s="2">
        <v>1</v>
      </c>
      <c r="G2649" s="2">
        <v>1</v>
      </c>
      <c r="H2649" s="2">
        <v>1</v>
      </c>
    </row>
    <row r="2650" spans="1:8" x14ac:dyDescent="0.25">
      <c r="A2650" s="1" t="str">
        <f>"94607"</f>
        <v>94607</v>
      </c>
      <c r="B2650" s="1" t="str">
        <f>"36084"</f>
        <v>36084</v>
      </c>
      <c r="C2650" s="1" t="str">
        <f>"OAKLAND"</f>
        <v>OAKLAND</v>
      </c>
      <c r="D2650" s="1" t="str">
        <f t="shared" si="192"/>
        <v>CA</v>
      </c>
      <c r="E2650" s="2">
        <v>1</v>
      </c>
      <c r="F2650" s="2">
        <v>1</v>
      </c>
      <c r="G2650" s="2">
        <v>1</v>
      </c>
      <c r="H2650" s="2">
        <v>1</v>
      </c>
    </row>
    <row r="2651" spans="1:8" x14ac:dyDescent="0.25">
      <c r="A2651" s="1" t="str">
        <f>"98075"</f>
        <v>98075</v>
      </c>
      <c r="B2651" s="1" t="str">
        <f>"42644"</f>
        <v>42644</v>
      </c>
      <c r="C2651" s="1" t="str">
        <f>"SAMMAMISH"</f>
        <v>SAMMAMISH</v>
      </c>
      <c r="D2651" s="1" t="str">
        <f>"WA"</f>
        <v>WA</v>
      </c>
      <c r="E2651" s="2">
        <v>1</v>
      </c>
      <c r="F2651" s="2">
        <v>1</v>
      </c>
      <c r="G2651" s="2">
        <v>1</v>
      </c>
      <c r="H2651" s="2">
        <v>1</v>
      </c>
    </row>
    <row r="2652" spans="1:8" x14ac:dyDescent="0.25">
      <c r="A2652" s="1" t="str">
        <f>"03848"</f>
        <v>03848</v>
      </c>
      <c r="B2652" s="1" t="str">
        <f>"40484"</f>
        <v>40484</v>
      </c>
      <c r="C2652" s="1" t="str">
        <f>"KINGSTON"</f>
        <v>KINGSTON</v>
      </c>
      <c r="D2652" s="1" t="str">
        <f>"NH"</f>
        <v>NH</v>
      </c>
      <c r="E2652" s="2">
        <v>1</v>
      </c>
      <c r="F2652" s="2">
        <v>1</v>
      </c>
      <c r="G2652" s="2">
        <v>1</v>
      </c>
      <c r="H2652" s="2">
        <v>1</v>
      </c>
    </row>
    <row r="2653" spans="1:8" x14ac:dyDescent="0.25">
      <c r="A2653" s="1" t="str">
        <f>"11380"</f>
        <v>11380</v>
      </c>
      <c r="B2653" s="1" t="str">
        <f>"35614"</f>
        <v>35614</v>
      </c>
      <c r="C2653" s="1" t="str">
        <f>"ELMHURST"</f>
        <v>ELMHURST</v>
      </c>
      <c r="D2653" s="1" t="str">
        <f>"NY"</f>
        <v>NY</v>
      </c>
      <c r="E2653" s="2">
        <v>1</v>
      </c>
      <c r="F2653" s="2">
        <v>1</v>
      </c>
      <c r="G2653" s="2">
        <v>1</v>
      </c>
      <c r="H2653" s="2">
        <v>1</v>
      </c>
    </row>
    <row r="2654" spans="1:8" x14ac:dyDescent="0.25">
      <c r="A2654" s="1" t="str">
        <f>"11948"</f>
        <v>11948</v>
      </c>
      <c r="B2654" s="1" t="str">
        <f>"35004"</f>
        <v>35004</v>
      </c>
      <c r="C2654" s="1" t="str">
        <f>"LAUREL"</f>
        <v>LAUREL</v>
      </c>
      <c r="D2654" s="1" t="str">
        <f>"NY"</f>
        <v>NY</v>
      </c>
      <c r="E2654" s="2">
        <v>1</v>
      </c>
      <c r="F2654" s="2">
        <v>1</v>
      </c>
      <c r="G2654" s="2">
        <v>1</v>
      </c>
      <c r="H2654" s="2">
        <v>1</v>
      </c>
    </row>
    <row r="2655" spans="1:8" x14ac:dyDescent="0.25">
      <c r="A2655" s="1" t="str">
        <f>"10533"</f>
        <v>10533</v>
      </c>
      <c r="B2655" s="1" t="str">
        <f>"35614"</f>
        <v>35614</v>
      </c>
      <c r="C2655" s="1" t="str">
        <f>"IRVINGTON"</f>
        <v>IRVINGTON</v>
      </c>
      <c r="D2655" s="1" t="str">
        <f>"NY"</f>
        <v>NY</v>
      </c>
      <c r="E2655" s="2">
        <v>1</v>
      </c>
      <c r="F2655" s="2">
        <v>1</v>
      </c>
      <c r="G2655" s="2">
        <v>1</v>
      </c>
      <c r="H2655" s="2">
        <v>1</v>
      </c>
    </row>
    <row r="2656" spans="1:8" x14ac:dyDescent="0.25">
      <c r="A2656" s="1" t="str">
        <f>"10540"</f>
        <v>10540</v>
      </c>
      <c r="B2656" s="1" t="str">
        <f>"35614"</f>
        <v>35614</v>
      </c>
      <c r="C2656" s="1" t="str">
        <f>"LINCOLNDALE"</f>
        <v>LINCOLNDALE</v>
      </c>
      <c r="D2656" s="1" t="str">
        <f>"NY"</f>
        <v>NY</v>
      </c>
      <c r="E2656" s="2">
        <v>1</v>
      </c>
      <c r="F2656" s="2">
        <v>1</v>
      </c>
      <c r="G2656" s="2">
        <v>1</v>
      </c>
      <c r="H2656" s="2">
        <v>1</v>
      </c>
    </row>
    <row r="2657" spans="1:8" x14ac:dyDescent="0.25">
      <c r="A2657" s="1" t="str">
        <f>"20026"</f>
        <v>20026</v>
      </c>
      <c r="B2657" s="1" t="str">
        <f>"47894"</f>
        <v>47894</v>
      </c>
      <c r="C2657" s="1" t="str">
        <f>"WASHINGTON"</f>
        <v>WASHINGTON</v>
      </c>
      <c r="D2657" s="1" t="str">
        <f>"DC"</f>
        <v>DC</v>
      </c>
      <c r="E2657" s="2">
        <v>1</v>
      </c>
      <c r="F2657" s="2">
        <v>1</v>
      </c>
      <c r="G2657" s="2">
        <v>1</v>
      </c>
      <c r="H2657" s="2">
        <v>1</v>
      </c>
    </row>
    <row r="2658" spans="1:8" x14ac:dyDescent="0.25">
      <c r="A2658" s="1" t="str">
        <f>"33261"</f>
        <v>33261</v>
      </c>
      <c r="B2658" s="1" t="str">
        <f>"33124"</f>
        <v>33124</v>
      </c>
      <c r="C2658" s="1" t="str">
        <f>"MIAMI"</f>
        <v>MIAMI</v>
      </c>
      <c r="D2658" s="1" t="str">
        <f>"FL"</f>
        <v>FL</v>
      </c>
      <c r="E2658" s="2">
        <v>1</v>
      </c>
      <c r="F2658" s="2">
        <v>1</v>
      </c>
      <c r="G2658" s="2">
        <v>1</v>
      </c>
      <c r="H2658" s="2">
        <v>1</v>
      </c>
    </row>
    <row r="2659" spans="1:8" x14ac:dyDescent="0.25">
      <c r="A2659" s="1" t="str">
        <f>"33234"</f>
        <v>33234</v>
      </c>
      <c r="B2659" s="1" t="str">
        <f>"33124"</f>
        <v>33124</v>
      </c>
      <c r="C2659" s="1" t="str">
        <f>"MIAMI"</f>
        <v>MIAMI</v>
      </c>
      <c r="D2659" s="1" t="str">
        <f>"FL"</f>
        <v>FL</v>
      </c>
      <c r="E2659" s="2">
        <v>1</v>
      </c>
      <c r="F2659" s="2">
        <v>1</v>
      </c>
      <c r="G2659" s="2">
        <v>1</v>
      </c>
      <c r="H2659" s="2">
        <v>1</v>
      </c>
    </row>
    <row r="2660" spans="1:8" x14ac:dyDescent="0.25">
      <c r="A2660" s="1" t="str">
        <f>"48370"</f>
        <v>48370</v>
      </c>
      <c r="B2660" s="1" t="str">
        <f>"47664"</f>
        <v>47664</v>
      </c>
      <c r="C2660" s="1" t="str">
        <f>"OXFORD"</f>
        <v>OXFORD</v>
      </c>
      <c r="D2660" s="1" t="str">
        <f>"MI"</f>
        <v>MI</v>
      </c>
      <c r="E2660" s="2">
        <v>1</v>
      </c>
      <c r="F2660" s="2">
        <v>1</v>
      </c>
      <c r="G2660" s="2">
        <v>1</v>
      </c>
      <c r="H2660" s="2">
        <v>1</v>
      </c>
    </row>
    <row r="2661" spans="1:8" x14ac:dyDescent="0.25">
      <c r="A2661" s="1" t="str">
        <f>"92817"</f>
        <v>92817</v>
      </c>
      <c r="B2661" s="1" t="str">
        <f>"11244"</f>
        <v>11244</v>
      </c>
      <c r="C2661" s="1" t="str">
        <f>"ANAHEIM"</f>
        <v>ANAHEIM</v>
      </c>
      <c r="D2661" s="1" t="str">
        <f>"CA"</f>
        <v>CA</v>
      </c>
      <c r="E2661" s="2">
        <v>1</v>
      </c>
      <c r="F2661" s="2">
        <v>1</v>
      </c>
      <c r="G2661" s="2">
        <v>1</v>
      </c>
      <c r="H2661" s="2">
        <v>1</v>
      </c>
    </row>
    <row r="2662" spans="1:8" x14ac:dyDescent="0.25">
      <c r="A2662" s="1" t="str">
        <f>"92676"</f>
        <v>92676</v>
      </c>
      <c r="B2662" s="1" t="str">
        <f>"11244"</f>
        <v>11244</v>
      </c>
      <c r="C2662" s="1" t="str">
        <f>"SILVERADO"</f>
        <v>SILVERADO</v>
      </c>
      <c r="D2662" s="1" t="str">
        <f>"CA"</f>
        <v>CA</v>
      </c>
      <c r="E2662" s="2">
        <v>1</v>
      </c>
      <c r="F2662" s="2">
        <v>1</v>
      </c>
      <c r="G2662" s="2">
        <v>1</v>
      </c>
      <c r="H2662" s="2">
        <v>1</v>
      </c>
    </row>
    <row r="2663" spans="1:8" x14ac:dyDescent="0.25">
      <c r="A2663" s="1" t="str">
        <f>"98111"</f>
        <v>98111</v>
      </c>
      <c r="B2663" s="1" t="str">
        <f>"42644"</f>
        <v>42644</v>
      </c>
      <c r="C2663" s="1" t="str">
        <f>"SEATTLE"</f>
        <v>SEATTLE</v>
      </c>
      <c r="D2663" s="1" t="str">
        <f>"WA"</f>
        <v>WA</v>
      </c>
      <c r="E2663" s="2">
        <v>1</v>
      </c>
      <c r="F2663" s="2">
        <v>1</v>
      </c>
      <c r="G2663" s="2">
        <v>1</v>
      </c>
      <c r="H2663" s="2">
        <v>1</v>
      </c>
    </row>
    <row r="2664" spans="1:8" x14ac:dyDescent="0.25">
      <c r="A2664" s="1" t="str">
        <f>"02060"</f>
        <v>02060</v>
      </c>
      <c r="B2664" s="1" t="str">
        <f>"14454"</f>
        <v>14454</v>
      </c>
      <c r="C2664" s="1" t="str">
        <f>"NORTH SCITUATE"</f>
        <v>NORTH SCITUATE</v>
      </c>
      <c r="D2664" s="1" t="str">
        <f>"MA"</f>
        <v>MA</v>
      </c>
      <c r="E2664" s="2">
        <v>1</v>
      </c>
      <c r="F2664" s="2">
        <v>1</v>
      </c>
      <c r="G2664" s="2">
        <v>1</v>
      </c>
      <c r="H2664" s="2">
        <v>1</v>
      </c>
    </row>
    <row r="2665" spans="1:8" x14ac:dyDescent="0.25">
      <c r="A2665" s="1" t="str">
        <f>"10546"</f>
        <v>10546</v>
      </c>
      <c r="B2665" s="1" t="str">
        <f>"35614"</f>
        <v>35614</v>
      </c>
      <c r="C2665" s="1" t="str">
        <f>"MILLWOOD"</f>
        <v>MILLWOOD</v>
      </c>
      <c r="D2665" s="1" t="str">
        <f>"NY"</f>
        <v>NY</v>
      </c>
      <c r="E2665" s="2">
        <v>1</v>
      </c>
      <c r="F2665" s="2">
        <v>1</v>
      </c>
      <c r="G2665" s="2">
        <v>1</v>
      </c>
      <c r="H2665" s="2">
        <v>1</v>
      </c>
    </row>
    <row r="2666" spans="1:8" x14ac:dyDescent="0.25">
      <c r="A2666" s="1" t="str">
        <f>"18950"</f>
        <v>18950</v>
      </c>
      <c r="B2666" s="1" t="str">
        <f>"33874"</f>
        <v>33874</v>
      </c>
      <c r="C2666" s="1" t="str">
        <f>"POINT PLEASANT"</f>
        <v>POINT PLEASANT</v>
      </c>
      <c r="D2666" s="1" t="str">
        <f>"PA"</f>
        <v>PA</v>
      </c>
      <c r="E2666" s="2">
        <v>1</v>
      </c>
      <c r="F2666" s="2">
        <v>1</v>
      </c>
      <c r="G2666" s="2">
        <v>1</v>
      </c>
      <c r="H2666" s="2">
        <v>1</v>
      </c>
    </row>
    <row r="2667" spans="1:8" x14ac:dyDescent="0.25">
      <c r="A2667" s="1" t="str">
        <f>"19012"</f>
        <v>19012</v>
      </c>
      <c r="B2667" s="1" t="str">
        <f>"33874"</f>
        <v>33874</v>
      </c>
      <c r="C2667" s="1" t="str">
        <f>"CHELTENHAM"</f>
        <v>CHELTENHAM</v>
      </c>
      <c r="D2667" s="1" t="str">
        <f>"PA"</f>
        <v>PA</v>
      </c>
      <c r="E2667" s="2">
        <v>1</v>
      </c>
      <c r="F2667" s="2">
        <v>1</v>
      </c>
      <c r="G2667" s="2">
        <v>1</v>
      </c>
      <c r="H2667" s="2">
        <v>1</v>
      </c>
    </row>
    <row r="2668" spans="1:8" x14ac:dyDescent="0.25">
      <c r="A2668" s="1" t="str">
        <f>"22211"</f>
        <v>22211</v>
      </c>
      <c r="B2668" s="1" t="str">
        <f>"47894"</f>
        <v>47894</v>
      </c>
      <c r="C2668" s="1" t="str">
        <f>"FORT MYER"</f>
        <v>FORT MYER</v>
      </c>
      <c r="D2668" s="1" t="str">
        <f>"VA"</f>
        <v>VA</v>
      </c>
      <c r="E2668" s="2">
        <v>1</v>
      </c>
      <c r="F2668" s="2">
        <v>1</v>
      </c>
      <c r="G2668" s="2">
        <v>1</v>
      </c>
      <c r="H2668" s="2">
        <v>1</v>
      </c>
    </row>
    <row r="2669" spans="1:8" x14ac:dyDescent="0.25">
      <c r="A2669" s="1" t="str">
        <f>"48153"</f>
        <v>48153</v>
      </c>
      <c r="B2669" s="1" t="str">
        <f>"19804"</f>
        <v>19804</v>
      </c>
      <c r="C2669" s="1" t="str">
        <f>"LIVONIA"</f>
        <v>LIVONIA</v>
      </c>
      <c r="D2669" s="1" t="str">
        <f>"MI"</f>
        <v>MI</v>
      </c>
      <c r="E2669" s="2">
        <v>1</v>
      </c>
      <c r="F2669" s="2">
        <v>1</v>
      </c>
      <c r="G2669" s="2">
        <v>1</v>
      </c>
      <c r="H2669" s="2">
        <v>1</v>
      </c>
    </row>
    <row r="2670" spans="1:8" x14ac:dyDescent="0.25">
      <c r="A2670" s="1" t="str">
        <f>"48760"</f>
        <v>48760</v>
      </c>
      <c r="B2670" s="1" t="str">
        <f>"47664"</f>
        <v>47664</v>
      </c>
      <c r="C2670" s="1" t="str">
        <f>"SILVERWOOD"</f>
        <v>SILVERWOOD</v>
      </c>
      <c r="D2670" s="1" t="str">
        <f>"MI"</f>
        <v>MI</v>
      </c>
      <c r="E2670" s="2">
        <v>1</v>
      </c>
      <c r="F2670" s="2">
        <v>1</v>
      </c>
      <c r="G2670" s="2">
        <v>0</v>
      </c>
      <c r="H2670" s="2">
        <v>1</v>
      </c>
    </row>
    <row r="2671" spans="1:8" x14ac:dyDescent="0.25">
      <c r="A2671" s="1" t="str">
        <f>"90809"</f>
        <v>90809</v>
      </c>
      <c r="B2671" s="1" t="str">
        <f>"31084"</f>
        <v>31084</v>
      </c>
      <c r="C2671" s="1" t="str">
        <f>"LONG BEACH"</f>
        <v>LONG BEACH</v>
      </c>
      <c r="D2671" s="1" t="str">
        <f>"CA"</f>
        <v>CA</v>
      </c>
      <c r="E2671" s="2">
        <v>1</v>
      </c>
      <c r="F2671" s="2">
        <v>1</v>
      </c>
      <c r="G2671" s="2">
        <v>1</v>
      </c>
      <c r="H2671" s="2">
        <v>1</v>
      </c>
    </row>
    <row r="2672" spans="1:8" x14ac:dyDescent="0.25">
      <c r="A2672" s="1" t="str">
        <f>"92659"</f>
        <v>92659</v>
      </c>
      <c r="B2672" s="1" t="str">
        <f>"11244"</f>
        <v>11244</v>
      </c>
      <c r="C2672" s="1" t="str">
        <f>"NEWPORT BEACH"</f>
        <v>NEWPORT BEACH</v>
      </c>
      <c r="D2672" s="1" t="str">
        <f>"CA"</f>
        <v>CA</v>
      </c>
      <c r="E2672" s="2">
        <v>1</v>
      </c>
      <c r="F2672" s="2">
        <v>1</v>
      </c>
      <c r="G2672" s="2">
        <v>1</v>
      </c>
      <c r="H2672" s="2">
        <v>1</v>
      </c>
    </row>
    <row r="2673" spans="1:8" x14ac:dyDescent="0.25">
      <c r="A2673" s="1" t="str">
        <f>"07311"</f>
        <v>07311</v>
      </c>
      <c r="B2673" s="1" t="str">
        <f>"35614"</f>
        <v>35614</v>
      </c>
      <c r="C2673" s="1" t="str">
        <f>"JERSEY CITY"</f>
        <v>JERSEY CITY</v>
      </c>
      <c r="D2673" s="1" t="str">
        <f>"NJ"</f>
        <v>NJ</v>
      </c>
      <c r="E2673" s="2">
        <v>1</v>
      </c>
      <c r="F2673" s="2">
        <v>1</v>
      </c>
      <c r="G2673" s="2">
        <v>1</v>
      </c>
      <c r="H2673" s="2">
        <v>1</v>
      </c>
    </row>
    <row r="2674" spans="1:8" x14ac:dyDescent="0.25">
      <c r="A2674" s="1" t="str">
        <f>"07935"</f>
        <v>07935</v>
      </c>
      <c r="B2674" s="1" t="str">
        <f>"35084"</f>
        <v>35084</v>
      </c>
      <c r="C2674" s="1" t="str">
        <f>"GREEN VILLAGE"</f>
        <v>GREEN VILLAGE</v>
      </c>
      <c r="D2674" s="1" t="str">
        <f>"NJ"</f>
        <v>NJ</v>
      </c>
      <c r="E2674" s="2">
        <v>1</v>
      </c>
      <c r="F2674" s="2">
        <v>1</v>
      </c>
      <c r="G2674" s="2">
        <v>1</v>
      </c>
      <c r="H2674" s="2">
        <v>1</v>
      </c>
    </row>
    <row r="2675" spans="1:8" x14ac:dyDescent="0.25">
      <c r="A2675" s="1" t="str">
        <f>"20749"</f>
        <v>20749</v>
      </c>
      <c r="B2675" s="1" t="str">
        <f>"47894"</f>
        <v>47894</v>
      </c>
      <c r="C2675" s="1" t="str">
        <f>"FORT WASHINGTON"</f>
        <v>FORT WASHINGTON</v>
      </c>
      <c r="D2675" s="1" t="str">
        <f>"MD"</f>
        <v>MD</v>
      </c>
      <c r="E2675" s="2">
        <v>1</v>
      </c>
      <c r="F2675" s="2">
        <v>1</v>
      </c>
      <c r="G2675" s="2">
        <v>1</v>
      </c>
      <c r="H2675" s="2">
        <v>1</v>
      </c>
    </row>
    <row r="2676" spans="1:8" x14ac:dyDescent="0.25">
      <c r="A2676" s="1" t="str">
        <f>"10542"</f>
        <v>10542</v>
      </c>
      <c r="B2676" s="1" t="str">
        <f>"35614"</f>
        <v>35614</v>
      </c>
      <c r="C2676" s="1" t="str">
        <f>"MAHOPAC FALLS"</f>
        <v>MAHOPAC FALLS</v>
      </c>
      <c r="D2676" s="1" t="str">
        <f>"NY"</f>
        <v>NY</v>
      </c>
      <c r="E2676" s="2">
        <v>1</v>
      </c>
      <c r="F2676" s="2">
        <v>1</v>
      </c>
      <c r="G2676" s="2">
        <v>1</v>
      </c>
      <c r="H2676" s="2">
        <v>1</v>
      </c>
    </row>
    <row r="2677" spans="1:8" x14ac:dyDescent="0.25">
      <c r="A2677" s="1" t="str">
        <f>"48233"</f>
        <v>48233</v>
      </c>
      <c r="B2677" s="1" t="str">
        <f>"19804"</f>
        <v>19804</v>
      </c>
      <c r="C2677" s="1" t="str">
        <f>"DETROIT"</f>
        <v>DETROIT</v>
      </c>
      <c r="D2677" s="1" t="str">
        <f>"MI"</f>
        <v>MI</v>
      </c>
      <c r="E2677" s="2">
        <v>0</v>
      </c>
      <c r="F2677" s="2">
        <v>1</v>
      </c>
      <c r="G2677" s="2">
        <v>1</v>
      </c>
      <c r="H2677" s="2">
        <v>1</v>
      </c>
    </row>
    <row r="2678" spans="1:8" x14ac:dyDescent="0.25">
      <c r="A2678" s="1" t="str">
        <f>"48418"</f>
        <v>48418</v>
      </c>
      <c r="B2678" s="1" t="str">
        <f>"47664"</f>
        <v>47664</v>
      </c>
      <c r="C2678" s="1" t="str">
        <f>"BYRON"</f>
        <v>BYRON</v>
      </c>
      <c r="D2678" s="1" t="str">
        <f>"MI"</f>
        <v>MI</v>
      </c>
      <c r="E2678" s="2">
        <v>1</v>
      </c>
      <c r="F2678" s="2">
        <v>1</v>
      </c>
      <c r="G2678" s="2">
        <v>0</v>
      </c>
      <c r="H2678" s="2">
        <v>1</v>
      </c>
    </row>
    <row r="2679" spans="1:8" x14ac:dyDescent="0.25">
      <c r="A2679" s="1" t="str">
        <f>"91617"</f>
        <v>91617</v>
      </c>
      <c r="B2679" s="1" t="str">
        <f>"31084"</f>
        <v>31084</v>
      </c>
      <c r="C2679" s="1" t="str">
        <f>"VALLEY VILLAGE"</f>
        <v>VALLEY VILLAGE</v>
      </c>
      <c r="D2679" s="1" t="str">
        <f>"CA"</f>
        <v>CA</v>
      </c>
      <c r="E2679" s="2">
        <v>1</v>
      </c>
      <c r="F2679" s="2">
        <v>1</v>
      </c>
      <c r="G2679" s="2">
        <v>1</v>
      </c>
      <c r="H2679" s="2">
        <v>1</v>
      </c>
    </row>
    <row r="2680" spans="1:8" x14ac:dyDescent="0.25">
      <c r="A2680" s="1" t="str">
        <f>"91118"</f>
        <v>91118</v>
      </c>
      <c r="B2680" s="1" t="str">
        <f>"31084"</f>
        <v>31084</v>
      </c>
      <c r="C2680" s="1" t="str">
        <f>"SAN MARINO"</f>
        <v>SAN MARINO</v>
      </c>
      <c r="D2680" s="1" t="str">
        <f>"CA"</f>
        <v>CA</v>
      </c>
      <c r="E2680" s="2">
        <v>1</v>
      </c>
      <c r="F2680" s="2">
        <v>1</v>
      </c>
      <c r="G2680" s="2">
        <v>1</v>
      </c>
      <c r="H2680" s="2">
        <v>1</v>
      </c>
    </row>
    <row r="2681" spans="1:8" x14ac:dyDescent="0.25">
      <c r="A2681" s="1" t="str">
        <f>"92628"</f>
        <v>92628</v>
      </c>
      <c r="B2681" s="1" t="str">
        <f>"11244"</f>
        <v>11244</v>
      </c>
      <c r="C2681" s="1" t="str">
        <f>"COSTA MESA"</f>
        <v>COSTA MESA</v>
      </c>
      <c r="D2681" s="1" t="str">
        <f>"CA"</f>
        <v>CA</v>
      </c>
      <c r="E2681" s="2">
        <v>1</v>
      </c>
      <c r="F2681" s="2">
        <v>1</v>
      </c>
      <c r="G2681" s="2">
        <v>1</v>
      </c>
      <c r="H2681" s="2">
        <v>1</v>
      </c>
    </row>
    <row r="2682" spans="1:8" x14ac:dyDescent="0.25">
      <c r="A2682" s="1" t="str">
        <f>"76486"</f>
        <v>76486</v>
      </c>
      <c r="B2682" s="1" t="str">
        <f>"23104"</f>
        <v>23104</v>
      </c>
      <c r="C2682" s="1" t="str">
        <f>"PERRIN"</f>
        <v>PERRIN</v>
      </c>
      <c r="D2682" s="1" t="str">
        <f>"TX"</f>
        <v>TX</v>
      </c>
      <c r="E2682" s="2">
        <v>1</v>
      </c>
      <c r="F2682" s="2">
        <v>1</v>
      </c>
      <c r="G2682" s="2">
        <v>1</v>
      </c>
      <c r="H2682" s="2">
        <v>1</v>
      </c>
    </row>
    <row r="2683" spans="1:8" x14ac:dyDescent="0.25">
      <c r="A2683" s="1" t="str">
        <f>"19490"</f>
        <v>19490</v>
      </c>
      <c r="B2683" s="1" t="str">
        <f>"33874"</f>
        <v>33874</v>
      </c>
      <c r="C2683" s="1" t="str">
        <f>"WORCESTER"</f>
        <v>WORCESTER</v>
      </c>
      <c r="D2683" s="1" t="str">
        <f>"PA"</f>
        <v>PA</v>
      </c>
      <c r="E2683" s="2">
        <v>1</v>
      </c>
      <c r="F2683" s="2">
        <v>1</v>
      </c>
      <c r="G2683" s="2">
        <v>1</v>
      </c>
      <c r="H2683" s="2">
        <v>1</v>
      </c>
    </row>
    <row r="2684" spans="1:8" x14ac:dyDescent="0.25">
      <c r="A2684" s="1" t="str">
        <f>"22219"</f>
        <v>22219</v>
      </c>
      <c r="B2684" s="1" t="str">
        <f>"47894"</f>
        <v>47894</v>
      </c>
      <c r="C2684" s="1" t="str">
        <f>"ARLINGTON"</f>
        <v>ARLINGTON</v>
      </c>
      <c r="D2684" s="1" t="str">
        <f>"VA"</f>
        <v>VA</v>
      </c>
      <c r="E2684" s="2">
        <v>1</v>
      </c>
      <c r="F2684" s="2">
        <v>1</v>
      </c>
      <c r="G2684" s="2">
        <v>1</v>
      </c>
      <c r="H2684" s="2">
        <v>1</v>
      </c>
    </row>
    <row r="2685" spans="1:8" x14ac:dyDescent="0.25">
      <c r="A2685" s="1" t="str">
        <f>"10587"</f>
        <v>10587</v>
      </c>
      <c r="B2685" s="1" t="str">
        <f>"35614"</f>
        <v>35614</v>
      </c>
      <c r="C2685" s="1" t="str">
        <f>"SHENOROCK"</f>
        <v>SHENOROCK</v>
      </c>
      <c r="D2685" s="1" t="str">
        <f>"NY"</f>
        <v>NY</v>
      </c>
      <c r="E2685" s="2">
        <v>1</v>
      </c>
      <c r="F2685" s="2">
        <v>1</v>
      </c>
      <c r="G2685" s="2">
        <v>1</v>
      </c>
      <c r="H2685" s="2">
        <v>1</v>
      </c>
    </row>
    <row r="2686" spans="1:8" x14ac:dyDescent="0.25">
      <c r="A2686" s="1" t="str">
        <f>"94146"</f>
        <v>94146</v>
      </c>
      <c r="B2686" s="1" t="str">
        <f>"41884"</f>
        <v>41884</v>
      </c>
      <c r="C2686" s="1" t="str">
        <f>"SAN FRANCISCO"</f>
        <v>SAN FRANCISCO</v>
      </c>
      <c r="D2686" s="1" t="str">
        <f>"CA"</f>
        <v>CA</v>
      </c>
      <c r="E2686" s="2">
        <v>1</v>
      </c>
      <c r="F2686" s="2">
        <v>1</v>
      </c>
      <c r="G2686" s="2">
        <v>1</v>
      </c>
      <c r="H2686" s="2">
        <v>1</v>
      </c>
    </row>
    <row r="2687" spans="1:8" x14ac:dyDescent="0.25">
      <c r="A2687" s="1" t="str">
        <f>"20553"</f>
        <v>20553</v>
      </c>
      <c r="B2687" s="1" t="str">
        <f>"47894"</f>
        <v>47894</v>
      </c>
      <c r="C2687" s="1" t="str">
        <f>"WASHINGTON"</f>
        <v>WASHINGTON</v>
      </c>
      <c r="D2687" s="1" t="str">
        <f>"DC"</f>
        <v>DC</v>
      </c>
      <c r="E2687" s="2">
        <v>0</v>
      </c>
      <c r="F2687" s="2">
        <v>1</v>
      </c>
      <c r="G2687" s="2">
        <v>0</v>
      </c>
      <c r="H2687" s="2">
        <v>1</v>
      </c>
    </row>
    <row r="2688" spans="1:8" x14ac:dyDescent="0.25">
      <c r="A2688" s="1" t="str">
        <f>"75371"</f>
        <v>75371</v>
      </c>
      <c r="B2688" s="1" t="str">
        <f>"19124"</f>
        <v>19124</v>
      </c>
      <c r="C2688" s="1" t="str">
        <f>"DALLAS"</f>
        <v>DALLAS</v>
      </c>
      <c r="D2688" s="1" t="str">
        <f>"TX"</f>
        <v>TX</v>
      </c>
      <c r="E2688" s="2">
        <v>1</v>
      </c>
      <c r="F2688" s="2">
        <v>1</v>
      </c>
      <c r="G2688" s="2">
        <v>1</v>
      </c>
      <c r="H2688" s="2">
        <v>1</v>
      </c>
    </row>
    <row r="2689" spans="1:8" x14ac:dyDescent="0.25">
      <c r="A2689" s="1" t="str">
        <f>"18084"</f>
        <v>18084</v>
      </c>
      <c r="B2689" s="1" t="str">
        <f>"33874"</f>
        <v>33874</v>
      </c>
      <c r="C2689" s="1" t="str">
        <f>"SUMNEYTOWN"</f>
        <v>SUMNEYTOWN</v>
      </c>
      <c r="D2689" s="1" t="str">
        <f>"PA"</f>
        <v>PA</v>
      </c>
      <c r="E2689" s="2">
        <v>1</v>
      </c>
      <c r="F2689" s="2">
        <v>1</v>
      </c>
      <c r="G2689" s="2">
        <v>0</v>
      </c>
      <c r="H2689" s="2">
        <v>1</v>
      </c>
    </row>
    <row r="2690" spans="1:8" x14ac:dyDescent="0.25">
      <c r="A2690" s="1" t="str">
        <f>"19726"</f>
        <v>19726</v>
      </c>
      <c r="B2690" s="1" t="str">
        <f>"48864"</f>
        <v>48864</v>
      </c>
      <c r="C2690" s="1" t="str">
        <f>"NEW CASTLE"</f>
        <v>NEW CASTLE</v>
      </c>
      <c r="D2690" s="1" t="str">
        <f>"DE"</f>
        <v>DE</v>
      </c>
      <c r="E2690" s="2">
        <v>0</v>
      </c>
      <c r="F2690" s="2">
        <v>1</v>
      </c>
      <c r="G2690" s="2">
        <v>1</v>
      </c>
      <c r="H2690" s="2">
        <v>1</v>
      </c>
    </row>
    <row r="2691" spans="1:8" x14ac:dyDescent="0.25">
      <c r="A2691" s="1" t="str">
        <f>"10045"</f>
        <v>10045</v>
      </c>
      <c r="B2691" s="1" t="str">
        <f>"35614"</f>
        <v>35614</v>
      </c>
      <c r="C2691" s="1" t="str">
        <f>"NEW YORK"</f>
        <v>NEW YORK</v>
      </c>
      <c r="D2691" s="1" t="str">
        <f>"NY"</f>
        <v>NY</v>
      </c>
      <c r="E2691" s="2">
        <v>0</v>
      </c>
      <c r="F2691" s="2">
        <v>1</v>
      </c>
      <c r="G2691" s="2">
        <v>1</v>
      </c>
      <c r="H2691" s="2">
        <v>1</v>
      </c>
    </row>
    <row r="2692" spans="1:8" x14ac:dyDescent="0.25">
      <c r="A2692" s="1" t="str">
        <f>"20416"</f>
        <v>20416</v>
      </c>
      <c r="B2692" s="1" t="str">
        <f>"47894"</f>
        <v>47894</v>
      </c>
      <c r="C2692" s="1" t="str">
        <f>"WASHINGTON"</f>
        <v>WASHINGTON</v>
      </c>
      <c r="D2692" s="1" t="str">
        <f>"DC"</f>
        <v>DC</v>
      </c>
      <c r="E2692" s="2">
        <v>0</v>
      </c>
      <c r="F2692" s="2">
        <v>1</v>
      </c>
      <c r="G2692" s="2">
        <v>0</v>
      </c>
      <c r="H2692" s="2">
        <v>1</v>
      </c>
    </row>
    <row r="2693" spans="1:8" x14ac:dyDescent="0.25">
      <c r="A2693" s="1" t="str">
        <f>"75448"</f>
        <v>75448</v>
      </c>
      <c r="B2693" s="1" t="str">
        <f>"19124"</f>
        <v>19124</v>
      </c>
      <c r="C2693" s="1" t="str">
        <f>"KLONDIKE"</f>
        <v>KLONDIKE</v>
      </c>
      <c r="D2693" s="1" t="str">
        <f>"TX"</f>
        <v>TX</v>
      </c>
      <c r="E2693" s="2">
        <v>1</v>
      </c>
      <c r="F2693" s="2">
        <v>0</v>
      </c>
      <c r="G2693" s="2">
        <v>0</v>
      </c>
      <c r="H2693" s="2">
        <v>1</v>
      </c>
    </row>
    <row r="2694" spans="1:8" x14ac:dyDescent="0.25">
      <c r="A2694" s="1" t="str">
        <f>"75469"</f>
        <v>75469</v>
      </c>
      <c r="B2694" s="1" t="str">
        <f>"19124"</f>
        <v>19124</v>
      </c>
      <c r="C2694" s="1" t="str">
        <f>"PECAN GAP"</f>
        <v>PECAN GAP</v>
      </c>
      <c r="D2694" s="1" t="str">
        <f>"TX"</f>
        <v>TX</v>
      </c>
      <c r="E2694" s="2">
        <v>1</v>
      </c>
      <c r="F2694" s="2">
        <v>0</v>
      </c>
      <c r="G2694" s="2">
        <v>0</v>
      </c>
      <c r="H2694" s="2">
        <v>1</v>
      </c>
    </row>
    <row r="2695" spans="1:8" x14ac:dyDescent="0.25">
      <c r="A2695" s="1" t="str">
        <f>"61353"</f>
        <v>61353</v>
      </c>
      <c r="B2695" s="1" t="str">
        <f>"20994"</f>
        <v>20994</v>
      </c>
      <c r="C2695" s="1" t="str">
        <f>"PAW PAW"</f>
        <v>PAW PAW</v>
      </c>
      <c r="D2695" s="1" t="str">
        <f>"IL"</f>
        <v>IL</v>
      </c>
      <c r="E2695" s="2">
        <v>1</v>
      </c>
      <c r="F2695" s="2">
        <v>0</v>
      </c>
      <c r="G2695" s="2">
        <v>0</v>
      </c>
      <c r="H2695" s="2">
        <v>1</v>
      </c>
    </row>
    <row r="2696" spans="1:8" x14ac:dyDescent="0.25">
      <c r="A2696" s="1" t="str">
        <f>"02044"</f>
        <v>02044</v>
      </c>
      <c r="B2696" s="1" t="str">
        <f>"14454"</f>
        <v>14454</v>
      </c>
      <c r="C2696" s="1" t="str">
        <f>"HINGHAM"</f>
        <v>HINGHAM</v>
      </c>
      <c r="D2696" s="1" t="str">
        <f>"MA"</f>
        <v>MA</v>
      </c>
      <c r="E2696" s="2">
        <v>0</v>
      </c>
      <c r="F2696" s="2">
        <v>1</v>
      </c>
      <c r="G2696" s="2">
        <v>0</v>
      </c>
      <c r="H2696" s="2">
        <v>1</v>
      </c>
    </row>
    <row r="2697" spans="1:8" x14ac:dyDescent="0.25">
      <c r="A2697" s="1" t="str">
        <f>"94971"</f>
        <v>94971</v>
      </c>
      <c r="B2697" s="1" t="str">
        <f>"42034"</f>
        <v>42034</v>
      </c>
      <c r="C2697" s="1" t="str">
        <f>"TOMALES"</f>
        <v>TOMALES</v>
      </c>
      <c r="D2697" s="1" t="str">
        <f>"CA"</f>
        <v>CA</v>
      </c>
      <c r="E2697" s="2">
        <v>1</v>
      </c>
      <c r="F2697" s="2">
        <v>1</v>
      </c>
      <c r="G2697" s="2">
        <v>0</v>
      </c>
      <c r="H2697" s="2">
        <v>1</v>
      </c>
    </row>
    <row r="2698" spans="1:8" x14ac:dyDescent="0.25">
      <c r="A2698" s="1" t="str">
        <f>"76190"</f>
        <v>76190</v>
      </c>
      <c r="B2698" s="1" t="str">
        <f>"23104"</f>
        <v>23104</v>
      </c>
      <c r="C2698" s="1" t="str">
        <f>"FORT WORTH"</f>
        <v>FORT WORTH</v>
      </c>
      <c r="D2698" s="1" t="str">
        <f>"TX"</f>
        <v>TX</v>
      </c>
      <c r="E2698" s="2">
        <v>0</v>
      </c>
      <c r="F2698" s="2">
        <v>1</v>
      </c>
      <c r="G2698" s="2">
        <v>0</v>
      </c>
      <c r="H2698" s="2">
        <v>1</v>
      </c>
    </row>
    <row r="2699" spans="1:8" x14ac:dyDescent="0.25">
      <c r="A2699" s="1" t="str">
        <f>"20058"</f>
        <v>20058</v>
      </c>
      <c r="B2699" s="1" t="str">
        <f>"23224"</f>
        <v>23224</v>
      </c>
      <c r="C2699" s="1" t="str">
        <f>"WASHINGTON"</f>
        <v>WASHINGTON</v>
      </c>
      <c r="D2699" s="1" t="str">
        <f>"DC"</f>
        <v>DC</v>
      </c>
      <c r="E2699" s="2">
        <v>0</v>
      </c>
      <c r="F2699" s="2">
        <v>1</v>
      </c>
      <c r="G2699" s="2">
        <v>0</v>
      </c>
      <c r="H2699" s="2">
        <v>1</v>
      </c>
    </row>
    <row r="2700" spans="1:8" x14ac:dyDescent="0.25">
      <c r="A2700" s="1" t="str">
        <f>"22350"</f>
        <v>22350</v>
      </c>
      <c r="B2700" s="1" t="str">
        <f>"47894"</f>
        <v>47894</v>
      </c>
      <c r="C2700" s="1" t="str">
        <f>"ALEXANDRIA"</f>
        <v>ALEXANDRIA</v>
      </c>
      <c r="D2700" s="1" t="str">
        <f>"VA"</f>
        <v>VA</v>
      </c>
      <c r="E2700" s="2">
        <v>0</v>
      </c>
      <c r="F2700" s="2">
        <v>1</v>
      </c>
      <c r="G2700" s="2">
        <v>1</v>
      </c>
      <c r="H2700" s="2">
        <v>1</v>
      </c>
    </row>
    <row r="2701" spans="1:8" x14ac:dyDescent="0.25">
      <c r="A2701" s="1" t="str">
        <f>"19357"</f>
        <v>19357</v>
      </c>
      <c r="B2701" s="1" t="str">
        <f>"33874"</f>
        <v>33874</v>
      </c>
      <c r="C2701" s="1" t="str">
        <f>"MENDENHALL"</f>
        <v>MENDENHALL</v>
      </c>
      <c r="D2701" s="1" t="str">
        <f>"PA"</f>
        <v>PA</v>
      </c>
      <c r="E2701" s="2">
        <v>0</v>
      </c>
      <c r="F2701" s="2">
        <v>0</v>
      </c>
      <c r="G2701" s="2">
        <v>1</v>
      </c>
      <c r="H2701" s="2">
        <v>1</v>
      </c>
    </row>
    <row r="2702" spans="1:8" x14ac:dyDescent="0.25">
      <c r="A2702" s="1" t="str">
        <f>"19423"</f>
        <v>19423</v>
      </c>
      <c r="B2702" s="1" t="str">
        <f>"33874"</f>
        <v>33874</v>
      </c>
      <c r="C2702" s="1" t="str">
        <f>"CEDARS"</f>
        <v>CEDARS</v>
      </c>
      <c r="D2702" s="1" t="str">
        <f>"PA"</f>
        <v>PA</v>
      </c>
      <c r="E2702" s="2">
        <v>0</v>
      </c>
      <c r="F2702" s="2">
        <v>1</v>
      </c>
      <c r="G2702" s="2">
        <v>0</v>
      </c>
      <c r="H2702" s="2">
        <v>1</v>
      </c>
    </row>
    <row r="2703" spans="1:8" x14ac:dyDescent="0.25">
      <c r="A2703" s="1" t="str">
        <f>"03803"</f>
        <v>03803</v>
      </c>
      <c r="B2703" s="1" t="str">
        <f>"40484"</f>
        <v>40484</v>
      </c>
      <c r="C2703" s="1" t="str">
        <f>"PORTSMOUTH"</f>
        <v>PORTSMOUTH</v>
      </c>
      <c r="D2703" s="1" t="str">
        <f>"NH"</f>
        <v>NH</v>
      </c>
      <c r="E2703" s="2">
        <v>0</v>
      </c>
      <c r="F2703" s="2">
        <v>0</v>
      </c>
      <c r="G2703" s="2">
        <v>1</v>
      </c>
      <c r="H2703" s="2">
        <v>1</v>
      </c>
    </row>
    <row r="2704" spans="1:8" x14ac:dyDescent="0.25">
      <c r="A2704" s="1" t="str">
        <f>"20204"</f>
        <v>20204</v>
      </c>
      <c r="B2704" s="1" t="str">
        <f>"47894"</f>
        <v>47894</v>
      </c>
      <c r="C2704" s="1" t="str">
        <f>"WASHINGTON"</f>
        <v>WASHINGTON</v>
      </c>
      <c r="D2704" s="1" t="str">
        <f>"DC"</f>
        <v>DC</v>
      </c>
      <c r="E2704" s="2">
        <v>0</v>
      </c>
      <c r="F2704" s="2">
        <v>1</v>
      </c>
      <c r="G2704" s="2">
        <v>0</v>
      </c>
      <c r="H2704" s="2">
        <v>1</v>
      </c>
    </row>
    <row r="2705" spans="1:8" x14ac:dyDescent="0.25">
      <c r="A2705" s="1" t="str">
        <f>"20212"</f>
        <v>20212</v>
      </c>
      <c r="B2705" s="1" t="str">
        <f>"47894"</f>
        <v>47894</v>
      </c>
      <c r="C2705" s="1" t="str">
        <f>"WASHINGTON"</f>
        <v>WASHINGTON</v>
      </c>
      <c r="D2705" s="1" t="str">
        <f>"DC"</f>
        <v>DC</v>
      </c>
      <c r="E2705" s="2">
        <v>0</v>
      </c>
      <c r="F2705" s="2">
        <v>1</v>
      </c>
      <c r="G2705" s="2">
        <v>0</v>
      </c>
      <c r="H2705" s="2">
        <v>1</v>
      </c>
    </row>
    <row r="2706" spans="1:8" x14ac:dyDescent="0.25">
      <c r="A2706" s="1" t="str">
        <f>"75118"</f>
        <v>75118</v>
      </c>
      <c r="B2706" s="1" t="str">
        <f>"19124"</f>
        <v>19124</v>
      </c>
      <c r="C2706" s="1" t="str">
        <f>"ELMO"</f>
        <v>ELMO</v>
      </c>
      <c r="D2706" s="1" t="str">
        <f>"TX"</f>
        <v>TX</v>
      </c>
      <c r="E2706" s="2">
        <v>0</v>
      </c>
      <c r="F2706" s="2">
        <v>0</v>
      </c>
      <c r="G2706" s="2">
        <v>1</v>
      </c>
      <c r="H2706" s="2">
        <v>1</v>
      </c>
    </row>
    <row r="2707" spans="1:8" x14ac:dyDescent="0.25">
      <c r="A2707" s="1" t="str">
        <f>"20041"</f>
        <v>20041</v>
      </c>
      <c r="B2707" s="1" t="str">
        <f>"47894"</f>
        <v>47894</v>
      </c>
      <c r="C2707" s="1" t="str">
        <f>"WASHINGTON"</f>
        <v>WASHINGTON</v>
      </c>
      <c r="D2707" s="1" t="str">
        <f>"DC"</f>
        <v>DC</v>
      </c>
      <c r="E2707" s="2">
        <v>0</v>
      </c>
      <c r="F2707" s="2">
        <v>0</v>
      </c>
      <c r="G2707" s="2">
        <v>1</v>
      </c>
      <c r="H2707" s="2">
        <v>1</v>
      </c>
    </row>
    <row r="2708" spans="1:8" x14ac:dyDescent="0.25">
      <c r="A2708" s="1" t="str">
        <f>"22037"</f>
        <v>22037</v>
      </c>
      <c r="B2708" s="1" t="str">
        <f>"47894"</f>
        <v>47894</v>
      </c>
      <c r="C2708" s="1" t="str">
        <f>"FAIRFAX"</f>
        <v>FAIRFAX</v>
      </c>
      <c r="D2708" s="1" t="str">
        <f>"VA"</f>
        <v>VA</v>
      </c>
      <c r="E2708" s="2">
        <v>0</v>
      </c>
      <c r="F2708" s="2">
        <v>1</v>
      </c>
      <c r="G2708" s="2">
        <v>0</v>
      </c>
      <c r="H2708" s="2">
        <v>1</v>
      </c>
    </row>
    <row r="2709" spans="1:8" x14ac:dyDescent="0.25">
      <c r="A2709" s="1" t="str">
        <f>"03076"</f>
        <v>03076</v>
      </c>
      <c r="B2709" s="1" t="str">
        <f>"40484"</f>
        <v>40484</v>
      </c>
      <c r="C2709" s="1" t="str">
        <f>"PELHAM"</f>
        <v>PELHAM</v>
      </c>
      <c r="D2709" s="1" t="str">
        <f>"NH"</f>
        <v>NH</v>
      </c>
      <c r="E2709" s="2">
        <v>1</v>
      </c>
      <c r="F2709" s="2">
        <v>0</v>
      </c>
      <c r="G2709" s="2">
        <v>0</v>
      </c>
      <c r="H2709" s="2">
        <v>1</v>
      </c>
    </row>
    <row r="2710" spans="1:8" x14ac:dyDescent="0.25">
      <c r="A2710" s="1" t="str">
        <f>"08557"</f>
        <v>08557</v>
      </c>
      <c r="B2710" s="1" t="str">
        <f>"35084"</f>
        <v>35084</v>
      </c>
      <c r="C2710" s="1" t="str">
        <f>"SERGEANTSVILLE"</f>
        <v>SERGEANTSVILLE</v>
      </c>
      <c r="D2710" s="1" t="str">
        <f>"NJ"</f>
        <v>NJ</v>
      </c>
      <c r="E2710" s="2">
        <v>0</v>
      </c>
      <c r="F2710" s="2">
        <v>0</v>
      </c>
      <c r="G2710" s="2">
        <v>1</v>
      </c>
      <c r="H2710" s="2">
        <v>1</v>
      </c>
    </row>
    <row r="2711" spans="1:8" x14ac:dyDescent="0.25">
      <c r="A2711" s="1" t="str">
        <f>"03234"</f>
        <v>03234</v>
      </c>
      <c r="B2711" s="1" t="str">
        <f>"40484"</f>
        <v>40484</v>
      </c>
      <c r="C2711" s="1" t="str">
        <f>"EPSOM"</f>
        <v>EPSOM</v>
      </c>
      <c r="D2711" s="1" t="str">
        <f>"NH"</f>
        <v>NH</v>
      </c>
      <c r="E2711" s="2">
        <v>1</v>
      </c>
      <c r="F2711" s="2">
        <v>0</v>
      </c>
      <c r="G2711" s="2">
        <v>0</v>
      </c>
      <c r="H2711" s="2">
        <v>1</v>
      </c>
    </row>
    <row r="2712" spans="1:8" x14ac:dyDescent="0.25">
      <c r="A2712" s="1" t="str">
        <f>"33112"</f>
        <v>33112</v>
      </c>
      <c r="B2712" s="1" t="str">
        <f>"33124"</f>
        <v>33124</v>
      </c>
      <c r="C2712" s="1" t="str">
        <f>"MIAMI"</f>
        <v>MIAMI</v>
      </c>
      <c r="D2712" s="1" t="str">
        <f>"FL"</f>
        <v>FL</v>
      </c>
      <c r="E2712" s="2">
        <v>0</v>
      </c>
      <c r="F2712" s="2">
        <v>1</v>
      </c>
      <c r="G2712" s="2">
        <v>0</v>
      </c>
      <c r="H2712" s="2">
        <v>1</v>
      </c>
    </row>
    <row r="2713" spans="1:8" x14ac:dyDescent="0.25">
      <c r="A2713" s="1" t="str">
        <f>"94516"</f>
        <v>94516</v>
      </c>
      <c r="B2713" s="1" t="str">
        <f>"36084"</f>
        <v>36084</v>
      </c>
      <c r="C2713" s="1" t="str">
        <f>"CANYON"</f>
        <v>CANYON</v>
      </c>
      <c r="D2713" s="1" t="str">
        <f>"CA"</f>
        <v>CA</v>
      </c>
      <c r="E2713" s="2">
        <v>0</v>
      </c>
      <c r="F2713" s="2">
        <v>0</v>
      </c>
      <c r="G2713" s="2">
        <v>1</v>
      </c>
      <c r="H2713" s="2">
        <v>1</v>
      </c>
    </row>
    <row r="2714" spans="1:8" x14ac:dyDescent="0.25">
      <c r="A2714" s="1" t="str">
        <f>"11425"</f>
        <v>11425</v>
      </c>
      <c r="B2714" s="1" t="str">
        <f>"35614"</f>
        <v>35614</v>
      </c>
      <c r="C2714" s="1" t="str">
        <f>"JAMAICA"</f>
        <v>JAMAICA</v>
      </c>
      <c r="D2714" s="1" t="str">
        <f>"NY"</f>
        <v>NY</v>
      </c>
      <c r="E2714" s="2">
        <v>0</v>
      </c>
      <c r="F2714" s="2">
        <v>1</v>
      </c>
      <c r="G2714" s="2">
        <v>0</v>
      </c>
      <c r="H2714" s="2">
        <v>1</v>
      </c>
    </row>
    <row r="2715" spans="1:8" x14ac:dyDescent="0.25">
      <c r="A2715" s="1" t="str">
        <f>"01752"</f>
        <v>01752</v>
      </c>
      <c r="B2715" s="1" t="str">
        <f>"15764"</f>
        <v>15764</v>
      </c>
      <c r="C2715" s="1" t="str">
        <f>"MARLBOROUGH"</f>
        <v>MARLBOROUGH</v>
      </c>
      <c r="D2715" s="1" t="str">
        <f t="shared" ref="D2715:D2724" si="194">"MA"</f>
        <v>MA</v>
      </c>
      <c r="E2715" s="2">
        <v>1</v>
      </c>
      <c r="F2715" s="2">
        <v>1</v>
      </c>
      <c r="G2715" s="2">
        <v>1</v>
      </c>
      <c r="H2715" s="2">
        <v>1</v>
      </c>
    </row>
    <row r="2716" spans="1:8" x14ac:dyDescent="0.25">
      <c r="A2716" s="1" t="str">
        <f>"01844"</f>
        <v>01844</v>
      </c>
      <c r="B2716" s="1" t="str">
        <f>"15764"</f>
        <v>15764</v>
      </c>
      <c r="C2716" s="1" t="str">
        <f>"METHUEN"</f>
        <v>METHUEN</v>
      </c>
      <c r="D2716" s="1" t="str">
        <f t="shared" si="194"/>
        <v>MA</v>
      </c>
      <c r="E2716" s="2">
        <v>1</v>
      </c>
      <c r="F2716" s="2">
        <v>1</v>
      </c>
      <c r="G2716" s="2">
        <v>1</v>
      </c>
      <c r="H2716" s="2">
        <v>1</v>
      </c>
    </row>
    <row r="2717" spans="1:8" x14ac:dyDescent="0.25">
      <c r="A2717" s="1" t="str">
        <f>"01854"</f>
        <v>01854</v>
      </c>
      <c r="B2717" s="1" t="str">
        <f>"15764"</f>
        <v>15764</v>
      </c>
      <c r="C2717" s="1" t="str">
        <f>"LOWELL"</f>
        <v>LOWELL</v>
      </c>
      <c r="D2717" s="1" t="str">
        <f t="shared" si="194"/>
        <v>MA</v>
      </c>
      <c r="E2717" s="2">
        <v>1</v>
      </c>
      <c r="F2717" s="2">
        <v>1</v>
      </c>
      <c r="G2717" s="2">
        <v>1</v>
      </c>
      <c r="H2717" s="2">
        <v>1</v>
      </c>
    </row>
    <row r="2718" spans="1:8" x14ac:dyDescent="0.25">
      <c r="A2718" s="1" t="str">
        <f>"01923"</f>
        <v>01923</v>
      </c>
      <c r="B2718" s="1" t="str">
        <f>"15764"</f>
        <v>15764</v>
      </c>
      <c r="C2718" s="1" t="str">
        <f>"DANVERS"</f>
        <v>DANVERS</v>
      </c>
      <c r="D2718" s="1" t="str">
        <f t="shared" si="194"/>
        <v>MA</v>
      </c>
      <c r="E2718" s="2">
        <v>1</v>
      </c>
      <c r="F2718" s="2">
        <v>1</v>
      </c>
      <c r="G2718" s="2">
        <v>1</v>
      </c>
      <c r="H2718" s="2">
        <v>1</v>
      </c>
    </row>
    <row r="2719" spans="1:8" x14ac:dyDescent="0.25">
      <c r="A2719" s="1" t="str">
        <f>"01966"</f>
        <v>01966</v>
      </c>
      <c r="B2719" s="1" t="str">
        <f>"15764"</f>
        <v>15764</v>
      </c>
      <c r="C2719" s="1" t="str">
        <f>"ROCKPORT"</f>
        <v>ROCKPORT</v>
      </c>
      <c r="D2719" s="1" t="str">
        <f t="shared" si="194"/>
        <v>MA</v>
      </c>
      <c r="E2719" s="2">
        <v>1</v>
      </c>
      <c r="F2719" s="2">
        <v>1</v>
      </c>
      <c r="G2719" s="2">
        <v>1</v>
      </c>
      <c r="H2719" s="2">
        <v>1</v>
      </c>
    </row>
    <row r="2720" spans="1:8" x14ac:dyDescent="0.25">
      <c r="A2720" s="1" t="str">
        <f>"02054"</f>
        <v>02054</v>
      </c>
      <c r="B2720" s="1" t="str">
        <f>"14454"</f>
        <v>14454</v>
      </c>
      <c r="C2720" s="1" t="str">
        <f>"MILLIS"</f>
        <v>MILLIS</v>
      </c>
      <c r="D2720" s="1" t="str">
        <f t="shared" si="194"/>
        <v>MA</v>
      </c>
      <c r="E2720" s="2">
        <v>1</v>
      </c>
      <c r="F2720" s="2">
        <v>1</v>
      </c>
      <c r="G2720" s="2">
        <v>1</v>
      </c>
      <c r="H2720" s="2">
        <v>1</v>
      </c>
    </row>
    <row r="2721" spans="1:8" x14ac:dyDescent="0.25">
      <c r="A2721" s="1" t="str">
        <f>"02113"</f>
        <v>02113</v>
      </c>
      <c r="B2721" s="1" t="str">
        <f>"14454"</f>
        <v>14454</v>
      </c>
      <c r="C2721" s="1" t="str">
        <f>"BOSTON"</f>
        <v>BOSTON</v>
      </c>
      <c r="D2721" s="1" t="str">
        <f t="shared" si="194"/>
        <v>MA</v>
      </c>
      <c r="E2721" s="2">
        <v>1</v>
      </c>
      <c r="F2721" s="2">
        <v>1</v>
      </c>
      <c r="G2721" s="2">
        <v>1</v>
      </c>
      <c r="H2721" s="2">
        <v>1</v>
      </c>
    </row>
    <row r="2722" spans="1:8" x14ac:dyDescent="0.25">
      <c r="A2722" s="1" t="str">
        <f>"02333"</f>
        <v>02333</v>
      </c>
      <c r="B2722" s="1" t="str">
        <f>"14454"</f>
        <v>14454</v>
      </c>
      <c r="C2722" s="1" t="str">
        <f>"EAST BRIDGEWATER"</f>
        <v>EAST BRIDGEWATER</v>
      </c>
      <c r="D2722" s="1" t="str">
        <f t="shared" si="194"/>
        <v>MA</v>
      </c>
      <c r="E2722" s="2">
        <v>1</v>
      </c>
      <c r="F2722" s="2">
        <v>1</v>
      </c>
      <c r="G2722" s="2">
        <v>1</v>
      </c>
      <c r="H2722" s="2">
        <v>1</v>
      </c>
    </row>
    <row r="2723" spans="1:8" x14ac:dyDescent="0.25">
      <c r="A2723" s="1" t="str">
        <f>"02482"</f>
        <v>02482</v>
      </c>
      <c r="B2723" s="1" t="str">
        <f>"14454"</f>
        <v>14454</v>
      </c>
      <c r="C2723" s="1" t="str">
        <f>"WELLESLEY"</f>
        <v>WELLESLEY</v>
      </c>
      <c r="D2723" s="1" t="str">
        <f t="shared" si="194"/>
        <v>MA</v>
      </c>
      <c r="E2723" s="2">
        <v>1</v>
      </c>
      <c r="F2723" s="2">
        <v>1</v>
      </c>
      <c r="G2723" s="2">
        <v>1</v>
      </c>
      <c r="H2723" s="2">
        <v>1</v>
      </c>
    </row>
    <row r="2724" spans="1:8" x14ac:dyDescent="0.25">
      <c r="A2724" s="1" t="str">
        <f>"02476"</f>
        <v>02476</v>
      </c>
      <c r="B2724" s="1" t="str">
        <f>"15764"</f>
        <v>15764</v>
      </c>
      <c r="C2724" s="1" t="str">
        <f>"ARLINGTON"</f>
        <v>ARLINGTON</v>
      </c>
      <c r="D2724" s="1" t="str">
        <f t="shared" si="194"/>
        <v>MA</v>
      </c>
      <c r="E2724" s="2">
        <v>1</v>
      </c>
      <c r="F2724" s="2">
        <v>1</v>
      </c>
      <c r="G2724" s="2">
        <v>1</v>
      </c>
      <c r="H2724" s="2">
        <v>1</v>
      </c>
    </row>
    <row r="2725" spans="1:8" x14ac:dyDescent="0.25">
      <c r="A2725" s="1" t="str">
        <f>"03824"</f>
        <v>03824</v>
      </c>
      <c r="B2725" s="1" t="str">
        <f>"40484"</f>
        <v>40484</v>
      </c>
      <c r="C2725" s="1" t="str">
        <f>"DURHAM"</f>
        <v>DURHAM</v>
      </c>
      <c r="D2725" s="1" t="str">
        <f>"NH"</f>
        <v>NH</v>
      </c>
      <c r="E2725" s="2">
        <v>1</v>
      </c>
      <c r="F2725" s="2">
        <v>1</v>
      </c>
      <c r="G2725" s="2">
        <v>1</v>
      </c>
      <c r="H2725" s="2">
        <v>1</v>
      </c>
    </row>
    <row r="2726" spans="1:8" x14ac:dyDescent="0.25">
      <c r="A2726" s="1" t="str">
        <f>"07092"</f>
        <v>07092</v>
      </c>
      <c r="B2726" s="1" t="str">
        <f>"35084"</f>
        <v>35084</v>
      </c>
      <c r="C2726" s="1" t="str">
        <f>"MOUNTAINSIDE"</f>
        <v>MOUNTAINSIDE</v>
      </c>
      <c r="D2726" s="1" t="str">
        <f t="shared" ref="D2726:D2739" si="195">"NJ"</f>
        <v>NJ</v>
      </c>
      <c r="E2726" s="2">
        <v>1</v>
      </c>
      <c r="F2726" s="2">
        <v>1</v>
      </c>
      <c r="G2726" s="2">
        <v>1</v>
      </c>
      <c r="H2726" s="2">
        <v>1</v>
      </c>
    </row>
    <row r="2727" spans="1:8" x14ac:dyDescent="0.25">
      <c r="A2727" s="1" t="str">
        <f>"07474"</f>
        <v>07474</v>
      </c>
      <c r="B2727" s="1" t="str">
        <f>"35614"</f>
        <v>35614</v>
      </c>
      <c r="C2727" s="1" t="str">
        <f>"WAYNE"</f>
        <v>WAYNE</v>
      </c>
      <c r="D2727" s="1" t="str">
        <f t="shared" si="195"/>
        <v>NJ</v>
      </c>
      <c r="E2727" s="2">
        <v>1</v>
      </c>
      <c r="F2727" s="2">
        <v>1</v>
      </c>
      <c r="G2727" s="2">
        <v>1</v>
      </c>
      <c r="H2727" s="2">
        <v>1</v>
      </c>
    </row>
    <row r="2728" spans="1:8" x14ac:dyDescent="0.25">
      <c r="A2728" s="1" t="str">
        <f>"07514"</f>
        <v>07514</v>
      </c>
      <c r="B2728" s="1" t="str">
        <f>"35614"</f>
        <v>35614</v>
      </c>
      <c r="C2728" s="1" t="str">
        <f>"PATERSON"</f>
        <v>PATERSON</v>
      </c>
      <c r="D2728" s="1" t="str">
        <f t="shared" si="195"/>
        <v>NJ</v>
      </c>
      <c r="E2728" s="2">
        <v>1</v>
      </c>
      <c r="F2728" s="2">
        <v>1</v>
      </c>
      <c r="G2728" s="2">
        <v>1</v>
      </c>
      <c r="H2728" s="2">
        <v>1</v>
      </c>
    </row>
    <row r="2729" spans="1:8" x14ac:dyDescent="0.25">
      <c r="A2729" s="1" t="str">
        <f>"07724"</f>
        <v>07724</v>
      </c>
      <c r="B2729" s="1" t="str">
        <f>"35154"</f>
        <v>35154</v>
      </c>
      <c r="C2729" s="1" t="str">
        <f>"EATONTOWN"</f>
        <v>EATONTOWN</v>
      </c>
      <c r="D2729" s="1" t="str">
        <f t="shared" si="195"/>
        <v>NJ</v>
      </c>
      <c r="E2729" s="2">
        <v>1</v>
      </c>
      <c r="F2729" s="2">
        <v>1</v>
      </c>
      <c r="G2729" s="2">
        <v>1</v>
      </c>
      <c r="H2729" s="2">
        <v>1</v>
      </c>
    </row>
    <row r="2730" spans="1:8" x14ac:dyDescent="0.25">
      <c r="A2730" s="1" t="str">
        <f>"07751"</f>
        <v>07751</v>
      </c>
      <c r="B2730" s="1" t="str">
        <f>"35154"</f>
        <v>35154</v>
      </c>
      <c r="C2730" s="1" t="str">
        <f>"MORGANVILLE"</f>
        <v>MORGANVILLE</v>
      </c>
      <c r="D2730" s="1" t="str">
        <f t="shared" si="195"/>
        <v>NJ</v>
      </c>
      <c r="E2730" s="2">
        <v>1</v>
      </c>
      <c r="F2730" s="2">
        <v>1</v>
      </c>
      <c r="G2730" s="2">
        <v>1</v>
      </c>
      <c r="H2730" s="2">
        <v>1</v>
      </c>
    </row>
    <row r="2731" spans="1:8" x14ac:dyDescent="0.25">
      <c r="A2731" s="1" t="str">
        <f>"07762"</f>
        <v>07762</v>
      </c>
      <c r="B2731" s="1" t="str">
        <f>"35154"</f>
        <v>35154</v>
      </c>
      <c r="C2731" s="1" t="str">
        <f>"SPRING LAKE"</f>
        <v>SPRING LAKE</v>
      </c>
      <c r="D2731" s="1" t="str">
        <f t="shared" si="195"/>
        <v>NJ</v>
      </c>
      <c r="E2731" s="2">
        <v>1</v>
      </c>
      <c r="F2731" s="2">
        <v>1</v>
      </c>
      <c r="G2731" s="2">
        <v>1</v>
      </c>
      <c r="H2731" s="2">
        <v>1</v>
      </c>
    </row>
    <row r="2732" spans="1:8" x14ac:dyDescent="0.25">
      <c r="A2732" s="1" t="str">
        <f>"07752"</f>
        <v>07752</v>
      </c>
      <c r="B2732" s="1" t="str">
        <f>"35154"</f>
        <v>35154</v>
      </c>
      <c r="C2732" s="1" t="str">
        <f>"NAVESINK"</f>
        <v>NAVESINK</v>
      </c>
      <c r="D2732" s="1" t="str">
        <f t="shared" si="195"/>
        <v>NJ</v>
      </c>
      <c r="E2732" s="2">
        <v>1</v>
      </c>
      <c r="F2732" s="2">
        <v>1</v>
      </c>
      <c r="G2732" s="2">
        <v>1</v>
      </c>
      <c r="H2732" s="2">
        <v>1</v>
      </c>
    </row>
    <row r="2733" spans="1:8" x14ac:dyDescent="0.25">
      <c r="A2733" s="1" t="str">
        <f>"08004"</f>
        <v>08004</v>
      </c>
      <c r="B2733" s="1" t="str">
        <f>"15804"</f>
        <v>15804</v>
      </c>
      <c r="C2733" s="1" t="str">
        <f>"ATCO"</f>
        <v>ATCO</v>
      </c>
      <c r="D2733" s="1" t="str">
        <f t="shared" si="195"/>
        <v>NJ</v>
      </c>
      <c r="E2733" s="2">
        <v>1</v>
      </c>
      <c r="F2733" s="2">
        <v>1</v>
      </c>
      <c r="G2733" s="2">
        <v>1</v>
      </c>
      <c r="H2733" s="2">
        <v>1</v>
      </c>
    </row>
    <row r="2734" spans="1:8" x14ac:dyDescent="0.25">
      <c r="A2734" s="1" t="str">
        <f>"08022"</f>
        <v>08022</v>
      </c>
      <c r="B2734" s="1" t="str">
        <f>"15804"</f>
        <v>15804</v>
      </c>
      <c r="C2734" s="1" t="str">
        <f>"COLUMBUS"</f>
        <v>COLUMBUS</v>
      </c>
      <c r="D2734" s="1" t="str">
        <f t="shared" si="195"/>
        <v>NJ</v>
      </c>
      <c r="E2734" s="2">
        <v>1</v>
      </c>
      <c r="F2734" s="2">
        <v>1</v>
      </c>
      <c r="G2734" s="2">
        <v>1</v>
      </c>
      <c r="H2734" s="2">
        <v>1</v>
      </c>
    </row>
    <row r="2735" spans="1:8" x14ac:dyDescent="0.25">
      <c r="A2735" s="1" t="str">
        <f>"08026"</f>
        <v>08026</v>
      </c>
      <c r="B2735" s="1" t="str">
        <f>"15804"</f>
        <v>15804</v>
      </c>
      <c r="C2735" s="1" t="str">
        <f>"GIBBSBORO"</f>
        <v>GIBBSBORO</v>
      </c>
      <c r="D2735" s="1" t="str">
        <f t="shared" si="195"/>
        <v>NJ</v>
      </c>
      <c r="E2735" s="2">
        <v>1</v>
      </c>
      <c r="F2735" s="2">
        <v>1</v>
      </c>
      <c r="G2735" s="2">
        <v>1</v>
      </c>
      <c r="H2735" s="2">
        <v>1</v>
      </c>
    </row>
    <row r="2736" spans="1:8" x14ac:dyDescent="0.25">
      <c r="A2736" s="1" t="str">
        <f>"08049"</f>
        <v>08049</v>
      </c>
      <c r="B2736" s="1" t="str">
        <f>"15804"</f>
        <v>15804</v>
      </c>
      <c r="C2736" s="1" t="str">
        <f>"MAGNOLIA"</f>
        <v>MAGNOLIA</v>
      </c>
      <c r="D2736" s="1" t="str">
        <f t="shared" si="195"/>
        <v>NJ</v>
      </c>
      <c r="E2736" s="2">
        <v>1</v>
      </c>
      <c r="F2736" s="2">
        <v>1</v>
      </c>
      <c r="G2736" s="2">
        <v>1</v>
      </c>
      <c r="H2736" s="2">
        <v>1</v>
      </c>
    </row>
    <row r="2737" spans="1:8" x14ac:dyDescent="0.25">
      <c r="A2737" s="1" t="str">
        <f>"08730"</f>
        <v>08730</v>
      </c>
      <c r="B2737" s="1" t="str">
        <f>"35154"</f>
        <v>35154</v>
      </c>
      <c r="C2737" s="1" t="str">
        <f>"BRIELLE"</f>
        <v>BRIELLE</v>
      </c>
      <c r="D2737" s="1" t="str">
        <f t="shared" si="195"/>
        <v>NJ</v>
      </c>
      <c r="E2737" s="2">
        <v>1</v>
      </c>
      <c r="F2737" s="2">
        <v>1</v>
      </c>
      <c r="G2737" s="2">
        <v>1</v>
      </c>
      <c r="H2737" s="2">
        <v>1</v>
      </c>
    </row>
    <row r="2738" spans="1:8" x14ac:dyDescent="0.25">
      <c r="A2738" s="1" t="str">
        <f>"08822"</f>
        <v>08822</v>
      </c>
      <c r="B2738" s="1" t="str">
        <f>"35084"</f>
        <v>35084</v>
      </c>
      <c r="C2738" s="1" t="str">
        <f>"FLEMINGTON"</f>
        <v>FLEMINGTON</v>
      </c>
      <c r="D2738" s="1" t="str">
        <f t="shared" si="195"/>
        <v>NJ</v>
      </c>
      <c r="E2738" s="2">
        <v>0.99992780825873495</v>
      </c>
      <c r="F2738" s="2">
        <v>1</v>
      </c>
      <c r="G2738" s="2">
        <v>1</v>
      </c>
      <c r="H2738" s="2">
        <v>0.99993982428691697</v>
      </c>
    </row>
    <row r="2739" spans="1:8" x14ac:dyDescent="0.25">
      <c r="A2739" s="1" t="str">
        <f>"08822"</f>
        <v>08822</v>
      </c>
      <c r="B2739" s="1" t="str">
        <f>"35154"</f>
        <v>35154</v>
      </c>
      <c r="C2739" s="1" t="str">
        <f>"FLEMINGTON"</f>
        <v>FLEMINGTON</v>
      </c>
      <c r="D2739" s="1" t="str">
        <f t="shared" si="195"/>
        <v>NJ</v>
      </c>
      <c r="E2739" s="2">
        <v>7.2191741264799299E-5</v>
      </c>
      <c r="F2739" s="2">
        <v>0</v>
      </c>
      <c r="G2739" s="2">
        <v>0</v>
      </c>
      <c r="H2739" s="2">
        <v>6.0175713082199997E-5</v>
      </c>
    </row>
    <row r="2740" spans="1:8" x14ac:dyDescent="0.25">
      <c r="A2740" s="1" t="str">
        <f>"10027"</f>
        <v>10027</v>
      </c>
      <c r="B2740" s="1" t="str">
        <f t="shared" ref="B2740:B2748" si="196">"35614"</f>
        <v>35614</v>
      </c>
      <c r="C2740" s="1" t="str">
        <f>"NEW YORK"</f>
        <v>NEW YORK</v>
      </c>
      <c r="D2740" s="1" t="str">
        <f t="shared" ref="D2740:D2756" si="197">"NY"</f>
        <v>NY</v>
      </c>
      <c r="E2740" s="2">
        <v>1</v>
      </c>
      <c r="F2740" s="2">
        <v>1</v>
      </c>
      <c r="G2740" s="2">
        <v>1</v>
      </c>
      <c r="H2740" s="2">
        <v>1</v>
      </c>
    </row>
    <row r="2741" spans="1:8" x14ac:dyDescent="0.25">
      <c r="A2741" s="1" t="str">
        <f>"10304"</f>
        <v>10304</v>
      </c>
      <c r="B2741" s="1" t="str">
        <f t="shared" si="196"/>
        <v>35614</v>
      </c>
      <c r="C2741" s="1" t="str">
        <f>"STATEN ISLAND"</f>
        <v>STATEN ISLAND</v>
      </c>
      <c r="D2741" s="1" t="str">
        <f t="shared" si="197"/>
        <v>NY</v>
      </c>
      <c r="E2741" s="2">
        <v>1</v>
      </c>
      <c r="F2741" s="2">
        <v>1</v>
      </c>
      <c r="G2741" s="2">
        <v>1</v>
      </c>
      <c r="H2741" s="2">
        <v>1</v>
      </c>
    </row>
    <row r="2742" spans="1:8" x14ac:dyDescent="0.25">
      <c r="A2742" s="1" t="str">
        <f>"10459"</f>
        <v>10459</v>
      </c>
      <c r="B2742" s="1" t="str">
        <f t="shared" si="196"/>
        <v>35614</v>
      </c>
      <c r="C2742" s="1" t="str">
        <f>"BRONX"</f>
        <v>BRONX</v>
      </c>
      <c r="D2742" s="1" t="str">
        <f t="shared" si="197"/>
        <v>NY</v>
      </c>
      <c r="E2742" s="2">
        <v>1</v>
      </c>
      <c r="F2742" s="2">
        <v>1</v>
      </c>
      <c r="G2742" s="2">
        <v>1</v>
      </c>
      <c r="H2742" s="2">
        <v>1</v>
      </c>
    </row>
    <row r="2743" spans="1:8" x14ac:dyDescent="0.25">
      <c r="A2743" s="1" t="str">
        <f>"10467"</f>
        <v>10467</v>
      </c>
      <c r="B2743" s="1" t="str">
        <f t="shared" si="196"/>
        <v>35614</v>
      </c>
      <c r="C2743" s="1" t="str">
        <f>"BRONX"</f>
        <v>BRONX</v>
      </c>
      <c r="D2743" s="1" t="str">
        <f t="shared" si="197"/>
        <v>NY</v>
      </c>
      <c r="E2743" s="2">
        <v>1</v>
      </c>
      <c r="F2743" s="2">
        <v>1</v>
      </c>
      <c r="G2743" s="2">
        <v>1</v>
      </c>
      <c r="H2743" s="2">
        <v>1</v>
      </c>
    </row>
    <row r="2744" spans="1:8" x14ac:dyDescent="0.25">
      <c r="A2744" s="1" t="str">
        <f>"11201"</f>
        <v>11201</v>
      </c>
      <c r="B2744" s="1" t="str">
        <f t="shared" si="196"/>
        <v>35614</v>
      </c>
      <c r="C2744" s="1" t="str">
        <f>"BROOKLYN"</f>
        <v>BROOKLYN</v>
      </c>
      <c r="D2744" s="1" t="str">
        <f t="shared" si="197"/>
        <v>NY</v>
      </c>
      <c r="E2744" s="2">
        <v>1</v>
      </c>
      <c r="F2744" s="2">
        <v>1</v>
      </c>
      <c r="G2744" s="2">
        <v>1</v>
      </c>
      <c r="H2744" s="2">
        <v>1</v>
      </c>
    </row>
    <row r="2745" spans="1:8" x14ac:dyDescent="0.25">
      <c r="A2745" s="1" t="str">
        <f>"11216"</f>
        <v>11216</v>
      </c>
      <c r="B2745" s="1" t="str">
        <f t="shared" si="196"/>
        <v>35614</v>
      </c>
      <c r="C2745" s="1" t="str">
        <f>"BROOKLYN"</f>
        <v>BROOKLYN</v>
      </c>
      <c r="D2745" s="1" t="str">
        <f t="shared" si="197"/>
        <v>NY</v>
      </c>
      <c r="E2745" s="2">
        <v>1</v>
      </c>
      <c r="F2745" s="2">
        <v>1</v>
      </c>
      <c r="G2745" s="2">
        <v>1</v>
      </c>
      <c r="H2745" s="2">
        <v>1</v>
      </c>
    </row>
    <row r="2746" spans="1:8" x14ac:dyDescent="0.25">
      <c r="A2746" s="1" t="str">
        <f>"11429"</f>
        <v>11429</v>
      </c>
      <c r="B2746" s="1" t="str">
        <f t="shared" si="196"/>
        <v>35614</v>
      </c>
      <c r="C2746" s="1" t="str">
        <f>"QUEENS VILLAGE"</f>
        <v>QUEENS VILLAGE</v>
      </c>
      <c r="D2746" s="1" t="str">
        <f t="shared" si="197"/>
        <v>NY</v>
      </c>
      <c r="E2746" s="2">
        <v>1</v>
      </c>
      <c r="F2746" s="2">
        <v>1</v>
      </c>
      <c r="G2746" s="2">
        <v>1</v>
      </c>
      <c r="H2746" s="2">
        <v>1</v>
      </c>
    </row>
    <row r="2747" spans="1:8" x14ac:dyDescent="0.25">
      <c r="A2747" s="1" t="str">
        <f>"11418"</f>
        <v>11418</v>
      </c>
      <c r="B2747" s="1" t="str">
        <f t="shared" si="196"/>
        <v>35614</v>
      </c>
      <c r="C2747" s="1" t="str">
        <f>"RICHMOND HILL"</f>
        <v>RICHMOND HILL</v>
      </c>
      <c r="D2747" s="1" t="str">
        <f t="shared" si="197"/>
        <v>NY</v>
      </c>
      <c r="E2747" s="2">
        <v>1</v>
      </c>
      <c r="F2747" s="2">
        <v>1</v>
      </c>
      <c r="G2747" s="2">
        <v>1</v>
      </c>
      <c r="H2747" s="2">
        <v>1</v>
      </c>
    </row>
    <row r="2748" spans="1:8" x14ac:dyDescent="0.25">
      <c r="A2748" s="1" t="str">
        <f>"11386"</f>
        <v>11386</v>
      </c>
      <c r="B2748" s="1" t="str">
        <f t="shared" si="196"/>
        <v>35614</v>
      </c>
      <c r="C2748" s="1" t="str">
        <f>"RIDGEWOOD"</f>
        <v>RIDGEWOOD</v>
      </c>
      <c r="D2748" s="1" t="str">
        <f t="shared" si="197"/>
        <v>NY</v>
      </c>
      <c r="E2748" s="2">
        <v>1</v>
      </c>
      <c r="F2748" s="2">
        <v>1</v>
      </c>
      <c r="G2748" s="2">
        <v>1</v>
      </c>
      <c r="H2748" s="2">
        <v>1</v>
      </c>
    </row>
    <row r="2749" spans="1:8" x14ac:dyDescent="0.25">
      <c r="A2749" s="1" t="str">
        <f>"11552"</f>
        <v>11552</v>
      </c>
      <c r="B2749" s="1" t="str">
        <f t="shared" ref="B2749:B2755" si="198">"35004"</f>
        <v>35004</v>
      </c>
      <c r="C2749" s="1" t="str">
        <f>"WEST HEMPSTEAD"</f>
        <v>WEST HEMPSTEAD</v>
      </c>
      <c r="D2749" s="1" t="str">
        <f t="shared" si="197"/>
        <v>NY</v>
      </c>
      <c r="E2749" s="2">
        <v>1</v>
      </c>
      <c r="F2749" s="2">
        <v>1</v>
      </c>
      <c r="G2749" s="2">
        <v>1</v>
      </c>
      <c r="H2749" s="2">
        <v>1</v>
      </c>
    </row>
    <row r="2750" spans="1:8" x14ac:dyDescent="0.25">
      <c r="A2750" s="1" t="str">
        <f>"11557"</f>
        <v>11557</v>
      </c>
      <c r="B2750" s="1" t="str">
        <f t="shared" si="198"/>
        <v>35004</v>
      </c>
      <c r="C2750" s="1" t="str">
        <f>"HEWLETT"</f>
        <v>HEWLETT</v>
      </c>
      <c r="D2750" s="1" t="str">
        <f t="shared" si="197"/>
        <v>NY</v>
      </c>
      <c r="E2750" s="2">
        <v>1</v>
      </c>
      <c r="F2750" s="2">
        <v>1</v>
      </c>
      <c r="G2750" s="2">
        <v>1</v>
      </c>
      <c r="H2750" s="2">
        <v>1</v>
      </c>
    </row>
    <row r="2751" spans="1:8" x14ac:dyDescent="0.25">
      <c r="A2751" s="1" t="str">
        <f>"11727"</f>
        <v>11727</v>
      </c>
      <c r="B2751" s="1" t="str">
        <f t="shared" si="198"/>
        <v>35004</v>
      </c>
      <c r="C2751" s="1" t="str">
        <f>"CORAM"</f>
        <v>CORAM</v>
      </c>
      <c r="D2751" s="1" t="str">
        <f t="shared" si="197"/>
        <v>NY</v>
      </c>
      <c r="E2751" s="2">
        <v>1</v>
      </c>
      <c r="F2751" s="2">
        <v>1</v>
      </c>
      <c r="G2751" s="2">
        <v>1</v>
      </c>
      <c r="H2751" s="2">
        <v>1</v>
      </c>
    </row>
    <row r="2752" spans="1:8" x14ac:dyDescent="0.25">
      <c r="A2752" s="1" t="str">
        <f>"11713"</f>
        <v>11713</v>
      </c>
      <c r="B2752" s="1" t="str">
        <f t="shared" si="198"/>
        <v>35004</v>
      </c>
      <c r="C2752" s="1" t="str">
        <f>"BELLPORT"</f>
        <v>BELLPORT</v>
      </c>
      <c r="D2752" s="1" t="str">
        <f t="shared" si="197"/>
        <v>NY</v>
      </c>
      <c r="E2752" s="2">
        <v>1</v>
      </c>
      <c r="F2752" s="2">
        <v>1</v>
      </c>
      <c r="G2752" s="2">
        <v>1</v>
      </c>
      <c r="H2752" s="2">
        <v>1</v>
      </c>
    </row>
    <row r="2753" spans="1:8" x14ac:dyDescent="0.25">
      <c r="A2753" s="1" t="str">
        <f>"11787"</f>
        <v>11787</v>
      </c>
      <c r="B2753" s="1" t="str">
        <f t="shared" si="198"/>
        <v>35004</v>
      </c>
      <c r="C2753" s="1" t="str">
        <f>"SMITHTOWN"</f>
        <v>SMITHTOWN</v>
      </c>
      <c r="D2753" s="1" t="str">
        <f t="shared" si="197"/>
        <v>NY</v>
      </c>
      <c r="E2753" s="2">
        <v>1</v>
      </c>
      <c r="F2753" s="2">
        <v>1</v>
      </c>
      <c r="G2753" s="2">
        <v>1</v>
      </c>
      <c r="H2753" s="2">
        <v>1</v>
      </c>
    </row>
    <row r="2754" spans="1:8" x14ac:dyDescent="0.25">
      <c r="A2754" s="1" t="str">
        <f>"11780"</f>
        <v>11780</v>
      </c>
      <c r="B2754" s="1" t="str">
        <f t="shared" si="198"/>
        <v>35004</v>
      </c>
      <c r="C2754" s="1" t="str">
        <f>"SAINT JAMES"</f>
        <v>SAINT JAMES</v>
      </c>
      <c r="D2754" s="1" t="str">
        <f t="shared" si="197"/>
        <v>NY</v>
      </c>
      <c r="E2754" s="2">
        <v>1</v>
      </c>
      <c r="F2754" s="2">
        <v>1</v>
      </c>
      <c r="G2754" s="2">
        <v>1</v>
      </c>
      <c r="H2754" s="2">
        <v>1</v>
      </c>
    </row>
    <row r="2755" spans="1:8" x14ac:dyDescent="0.25">
      <c r="A2755" s="1" t="str">
        <f>"11930"</f>
        <v>11930</v>
      </c>
      <c r="B2755" s="1" t="str">
        <f t="shared" si="198"/>
        <v>35004</v>
      </c>
      <c r="C2755" s="1" t="str">
        <f>"AMAGANSETT"</f>
        <v>AMAGANSETT</v>
      </c>
      <c r="D2755" s="1" t="str">
        <f t="shared" si="197"/>
        <v>NY</v>
      </c>
      <c r="E2755" s="2">
        <v>1</v>
      </c>
      <c r="F2755" s="2">
        <v>1</v>
      </c>
      <c r="G2755" s="2">
        <v>1</v>
      </c>
      <c r="H2755" s="2">
        <v>1</v>
      </c>
    </row>
    <row r="2756" spans="1:8" x14ac:dyDescent="0.25">
      <c r="A2756" s="1" t="str">
        <f>"10989"</f>
        <v>10989</v>
      </c>
      <c r="B2756" s="1" t="str">
        <f>"35614"</f>
        <v>35614</v>
      </c>
      <c r="C2756" s="1" t="str">
        <f>"VALLEY COTTAGE"</f>
        <v>VALLEY COTTAGE</v>
      </c>
      <c r="D2756" s="1" t="str">
        <f t="shared" si="197"/>
        <v>NY</v>
      </c>
      <c r="E2756" s="2">
        <v>1</v>
      </c>
      <c r="F2756" s="2">
        <v>1</v>
      </c>
      <c r="G2756" s="2">
        <v>1</v>
      </c>
      <c r="H2756" s="2">
        <v>1</v>
      </c>
    </row>
    <row r="2757" spans="1:8" x14ac:dyDescent="0.25">
      <c r="A2757" s="1" t="str">
        <f>"18451"</f>
        <v>18451</v>
      </c>
      <c r="B2757" s="1" t="str">
        <f>"35084"</f>
        <v>35084</v>
      </c>
      <c r="C2757" s="1" t="str">
        <f>"PAUPACK"</f>
        <v>PAUPACK</v>
      </c>
      <c r="D2757" s="1" t="str">
        <f t="shared" ref="D2757:D2763" si="199">"PA"</f>
        <v>PA</v>
      </c>
      <c r="E2757" s="2">
        <v>1</v>
      </c>
      <c r="F2757" s="2">
        <v>1</v>
      </c>
      <c r="G2757" s="2">
        <v>1</v>
      </c>
      <c r="H2757" s="2">
        <v>1</v>
      </c>
    </row>
    <row r="2758" spans="1:8" x14ac:dyDescent="0.25">
      <c r="A2758" s="1" t="str">
        <f>"19056"</f>
        <v>19056</v>
      </c>
      <c r="B2758" s="1" t="str">
        <f>"33874"</f>
        <v>33874</v>
      </c>
      <c r="C2758" s="1" t="str">
        <f>"LEVITTOWN"</f>
        <v>LEVITTOWN</v>
      </c>
      <c r="D2758" s="1" t="str">
        <f t="shared" si="199"/>
        <v>PA</v>
      </c>
      <c r="E2758" s="2">
        <v>1</v>
      </c>
      <c r="F2758" s="2">
        <v>1</v>
      </c>
      <c r="G2758" s="2">
        <v>1</v>
      </c>
      <c r="H2758" s="2">
        <v>1</v>
      </c>
    </row>
    <row r="2759" spans="1:8" x14ac:dyDescent="0.25">
      <c r="A2759" s="1" t="str">
        <f>"19103"</f>
        <v>19103</v>
      </c>
      <c r="B2759" s="1" t="str">
        <f>"37964"</f>
        <v>37964</v>
      </c>
      <c r="C2759" s="1" t="str">
        <f>"PHILADELPHIA"</f>
        <v>PHILADELPHIA</v>
      </c>
      <c r="D2759" s="1" t="str">
        <f t="shared" si="199"/>
        <v>PA</v>
      </c>
      <c r="E2759" s="2">
        <v>1</v>
      </c>
      <c r="F2759" s="2">
        <v>1</v>
      </c>
      <c r="G2759" s="2">
        <v>1</v>
      </c>
      <c r="H2759" s="2">
        <v>1</v>
      </c>
    </row>
    <row r="2760" spans="1:8" x14ac:dyDescent="0.25">
      <c r="A2760" s="1" t="str">
        <f>"19078"</f>
        <v>19078</v>
      </c>
      <c r="B2760" s="1" t="str">
        <f>"37964"</f>
        <v>37964</v>
      </c>
      <c r="C2760" s="1" t="str">
        <f>"RIDLEY PARK"</f>
        <v>RIDLEY PARK</v>
      </c>
      <c r="D2760" s="1" t="str">
        <f t="shared" si="199"/>
        <v>PA</v>
      </c>
      <c r="E2760" s="2">
        <v>1</v>
      </c>
      <c r="F2760" s="2">
        <v>1</v>
      </c>
      <c r="G2760" s="2">
        <v>1</v>
      </c>
      <c r="H2760" s="2">
        <v>1</v>
      </c>
    </row>
    <row r="2761" spans="1:8" x14ac:dyDescent="0.25">
      <c r="A2761" s="1" t="str">
        <f>"19151"</f>
        <v>19151</v>
      </c>
      <c r="B2761" s="1" t="str">
        <f>"37964"</f>
        <v>37964</v>
      </c>
      <c r="C2761" s="1" t="str">
        <f>"PHILADELPHIA"</f>
        <v>PHILADELPHIA</v>
      </c>
      <c r="D2761" s="1" t="str">
        <f t="shared" si="199"/>
        <v>PA</v>
      </c>
      <c r="E2761" s="2">
        <v>1</v>
      </c>
      <c r="F2761" s="2">
        <v>1</v>
      </c>
      <c r="G2761" s="2">
        <v>1</v>
      </c>
      <c r="H2761" s="2">
        <v>1</v>
      </c>
    </row>
    <row r="2762" spans="1:8" x14ac:dyDescent="0.25">
      <c r="A2762" s="1" t="str">
        <f>"19333"</f>
        <v>19333</v>
      </c>
      <c r="B2762" s="1" t="str">
        <f>"37964"</f>
        <v>37964</v>
      </c>
      <c r="C2762" s="1" t="str">
        <f>"DEVON"</f>
        <v>DEVON</v>
      </c>
      <c r="D2762" s="1" t="str">
        <f t="shared" si="199"/>
        <v>PA</v>
      </c>
      <c r="E2762" s="2">
        <v>3.4714186530895598E-3</v>
      </c>
      <c r="F2762" s="2">
        <v>0</v>
      </c>
      <c r="G2762" s="2">
        <v>1.6666666666666601E-2</v>
      </c>
      <c r="H2762" s="2">
        <v>3.54019158683881E-3</v>
      </c>
    </row>
    <row r="2763" spans="1:8" x14ac:dyDescent="0.25">
      <c r="A2763" s="1" t="str">
        <f>"19333"</f>
        <v>19333</v>
      </c>
      <c r="B2763" s="1" t="str">
        <f>"33874"</f>
        <v>33874</v>
      </c>
      <c r="C2763" s="1" t="str">
        <f>"DEVON"</f>
        <v>DEVON</v>
      </c>
      <c r="D2763" s="1" t="str">
        <f t="shared" si="199"/>
        <v>PA</v>
      </c>
      <c r="E2763" s="2">
        <v>0.99652858134691003</v>
      </c>
      <c r="F2763" s="2">
        <v>1</v>
      </c>
      <c r="G2763" s="2">
        <v>0.98333333333333295</v>
      </c>
      <c r="H2763" s="2">
        <v>0.99645980841316095</v>
      </c>
    </row>
    <row r="2764" spans="1:8" x14ac:dyDescent="0.25">
      <c r="A2764" s="1" t="str">
        <f>"20009"</f>
        <v>20009</v>
      </c>
      <c r="B2764" s="1" t="str">
        <f>"47894"</f>
        <v>47894</v>
      </c>
      <c r="C2764" s="1" t="str">
        <f>"WASHINGTON"</f>
        <v>WASHINGTON</v>
      </c>
      <c r="D2764" s="1" t="str">
        <f>"DC"</f>
        <v>DC</v>
      </c>
      <c r="E2764" s="2">
        <v>1</v>
      </c>
      <c r="F2764" s="2">
        <v>1</v>
      </c>
      <c r="G2764" s="2">
        <v>1</v>
      </c>
      <c r="H2764" s="2">
        <v>1</v>
      </c>
    </row>
    <row r="2765" spans="1:8" x14ac:dyDescent="0.25">
      <c r="A2765" s="1" t="str">
        <f>"20611"</f>
        <v>20611</v>
      </c>
      <c r="B2765" s="1" t="str">
        <f>"47894"</f>
        <v>47894</v>
      </c>
      <c r="C2765" s="1" t="str">
        <f>"BEL ALTON"</f>
        <v>BEL ALTON</v>
      </c>
      <c r="D2765" s="1" t="str">
        <f>"MD"</f>
        <v>MD</v>
      </c>
      <c r="E2765" s="2">
        <v>1</v>
      </c>
      <c r="F2765" s="2">
        <v>1</v>
      </c>
      <c r="G2765" s="2">
        <v>1</v>
      </c>
      <c r="H2765" s="2">
        <v>1</v>
      </c>
    </row>
    <row r="2766" spans="1:8" x14ac:dyDescent="0.25">
      <c r="A2766" s="1" t="str">
        <f>"20716"</f>
        <v>20716</v>
      </c>
      <c r="B2766" s="1" t="str">
        <f>"47894"</f>
        <v>47894</v>
      </c>
      <c r="C2766" s="1" t="str">
        <f>"BOWIE"</f>
        <v>BOWIE</v>
      </c>
      <c r="D2766" s="1" t="str">
        <f>"MD"</f>
        <v>MD</v>
      </c>
      <c r="E2766" s="2">
        <v>1</v>
      </c>
      <c r="F2766" s="2">
        <v>1</v>
      </c>
      <c r="G2766" s="2">
        <v>1</v>
      </c>
      <c r="H2766" s="2">
        <v>1</v>
      </c>
    </row>
    <row r="2767" spans="1:8" x14ac:dyDescent="0.25">
      <c r="A2767" s="1" t="str">
        <f>"20708"</f>
        <v>20708</v>
      </c>
      <c r="B2767" s="1" t="str">
        <f>"47894"</f>
        <v>47894</v>
      </c>
      <c r="C2767" s="1" t="str">
        <f>"LAUREL"</f>
        <v>LAUREL</v>
      </c>
      <c r="D2767" s="1" t="str">
        <f>"MD"</f>
        <v>MD</v>
      </c>
      <c r="E2767" s="2">
        <v>1</v>
      </c>
      <c r="F2767" s="2">
        <v>1</v>
      </c>
      <c r="G2767" s="2">
        <v>1</v>
      </c>
      <c r="H2767" s="2">
        <v>1</v>
      </c>
    </row>
    <row r="2768" spans="1:8" x14ac:dyDescent="0.25">
      <c r="A2768" s="1" t="str">
        <f>"20842"</f>
        <v>20842</v>
      </c>
      <c r="B2768" s="1" t="str">
        <f>"23224"</f>
        <v>23224</v>
      </c>
      <c r="C2768" s="1" t="str">
        <f>"DICKERSON"</f>
        <v>DICKERSON</v>
      </c>
      <c r="D2768" s="1" t="str">
        <f>"MD"</f>
        <v>MD</v>
      </c>
      <c r="E2768" s="2">
        <v>1</v>
      </c>
      <c r="F2768" s="2">
        <v>1</v>
      </c>
      <c r="G2768" s="2">
        <v>1</v>
      </c>
      <c r="H2768" s="2">
        <v>1</v>
      </c>
    </row>
    <row r="2769" spans="1:8" x14ac:dyDescent="0.25">
      <c r="A2769" s="1" t="str">
        <f>"20872"</f>
        <v>20872</v>
      </c>
      <c r="B2769" s="1" t="str">
        <f>"23224"</f>
        <v>23224</v>
      </c>
      <c r="C2769" s="1" t="str">
        <f>"DAMASCUS"</f>
        <v>DAMASCUS</v>
      </c>
      <c r="D2769" s="1" t="str">
        <f>"MD"</f>
        <v>MD</v>
      </c>
      <c r="E2769" s="2">
        <v>1</v>
      </c>
      <c r="F2769" s="2">
        <v>1</v>
      </c>
      <c r="G2769" s="2">
        <v>1</v>
      </c>
      <c r="H2769" s="2">
        <v>1</v>
      </c>
    </row>
    <row r="2770" spans="1:8" x14ac:dyDescent="0.25">
      <c r="A2770" s="1" t="str">
        <f>"20137"</f>
        <v>20137</v>
      </c>
      <c r="B2770" s="1" t="str">
        <f t="shared" ref="B2770:B2775" si="200">"47894"</f>
        <v>47894</v>
      </c>
      <c r="C2770" s="1" t="str">
        <f>"BROAD RUN"</f>
        <v>BROAD RUN</v>
      </c>
      <c r="D2770" s="1" t="str">
        <f t="shared" ref="D2770:D2775" si="201">"VA"</f>
        <v>VA</v>
      </c>
      <c r="E2770" s="2">
        <v>1</v>
      </c>
      <c r="F2770" s="2">
        <v>1</v>
      </c>
      <c r="G2770" s="2">
        <v>1</v>
      </c>
      <c r="H2770" s="2">
        <v>1</v>
      </c>
    </row>
    <row r="2771" spans="1:8" x14ac:dyDescent="0.25">
      <c r="A2771" s="1" t="str">
        <f>"22124"</f>
        <v>22124</v>
      </c>
      <c r="B2771" s="1" t="str">
        <f t="shared" si="200"/>
        <v>47894</v>
      </c>
      <c r="C2771" s="1" t="str">
        <f>"OAKTON"</f>
        <v>OAKTON</v>
      </c>
      <c r="D2771" s="1" t="str">
        <f t="shared" si="201"/>
        <v>VA</v>
      </c>
      <c r="E2771" s="2">
        <v>1</v>
      </c>
      <c r="F2771" s="2">
        <v>1</v>
      </c>
      <c r="G2771" s="2">
        <v>1</v>
      </c>
      <c r="H2771" s="2">
        <v>1</v>
      </c>
    </row>
    <row r="2772" spans="1:8" x14ac:dyDescent="0.25">
      <c r="A2772" s="1" t="str">
        <f>"22060"</f>
        <v>22060</v>
      </c>
      <c r="B2772" s="1" t="str">
        <f t="shared" si="200"/>
        <v>47894</v>
      </c>
      <c r="C2772" s="1" t="str">
        <f>"FORT BELVOIR"</f>
        <v>FORT BELVOIR</v>
      </c>
      <c r="D2772" s="1" t="str">
        <f t="shared" si="201"/>
        <v>VA</v>
      </c>
      <c r="E2772" s="2">
        <v>1</v>
      </c>
      <c r="F2772" s="2">
        <v>1</v>
      </c>
      <c r="G2772" s="2">
        <v>1</v>
      </c>
      <c r="H2772" s="2">
        <v>1</v>
      </c>
    </row>
    <row r="2773" spans="1:8" x14ac:dyDescent="0.25">
      <c r="A2773" s="1" t="str">
        <f>"22182"</f>
        <v>22182</v>
      </c>
      <c r="B2773" s="1" t="str">
        <f t="shared" si="200"/>
        <v>47894</v>
      </c>
      <c r="C2773" s="1" t="str">
        <f>"VIENNA"</f>
        <v>VIENNA</v>
      </c>
      <c r="D2773" s="1" t="str">
        <f t="shared" si="201"/>
        <v>VA</v>
      </c>
      <c r="E2773" s="2">
        <v>1</v>
      </c>
      <c r="F2773" s="2">
        <v>1</v>
      </c>
      <c r="G2773" s="2">
        <v>1</v>
      </c>
      <c r="H2773" s="2">
        <v>1</v>
      </c>
    </row>
    <row r="2774" spans="1:8" x14ac:dyDescent="0.25">
      <c r="A2774" s="1" t="str">
        <f>"22193"</f>
        <v>22193</v>
      </c>
      <c r="B2774" s="1" t="str">
        <f t="shared" si="200"/>
        <v>47894</v>
      </c>
      <c r="C2774" s="1" t="str">
        <f>"WOODBRIDGE"</f>
        <v>WOODBRIDGE</v>
      </c>
      <c r="D2774" s="1" t="str">
        <f t="shared" si="201"/>
        <v>VA</v>
      </c>
      <c r="E2774" s="2">
        <v>1</v>
      </c>
      <c r="F2774" s="2">
        <v>1</v>
      </c>
      <c r="G2774" s="2">
        <v>1</v>
      </c>
      <c r="H2774" s="2">
        <v>1</v>
      </c>
    </row>
    <row r="2775" spans="1:8" x14ac:dyDescent="0.25">
      <c r="A2775" s="1" t="str">
        <f>"22305"</f>
        <v>22305</v>
      </c>
      <c r="B2775" s="1" t="str">
        <f t="shared" si="200"/>
        <v>47894</v>
      </c>
      <c r="C2775" s="1" t="str">
        <f>"ALEXANDRIA"</f>
        <v>ALEXANDRIA</v>
      </c>
      <c r="D2775" s="1" t="str">
        <f t="shared" si="201"/>
        <v>VA</v>
      </c>
      <c r="E2775" s="2">
        <v>1</v>
      </c>
      <c r="F2775" s="2">
        <v>1</v>
      </c>
      <c r="G2775" s="2">
        <v>1</v>
      </c>
      <c r="H2775" s="2">
        <v>1</v>
      </c>
    </row>
    <row r="2776" spans="1:8" x14ac:dyDescent="0.25">
      <c r="A2776" s="1" t="str">
        <f>"33066"</f>
        <v>33066</v>
      </c>
      <c r="B2776" s="1" t="str">
        <f>"22744"</f>
        <v>22744</v>
      </c>
      <c r="C2776" s="1" t="str">
        <f>"POMPANO BEACH"</f>
        <v>POMPANO BEACH</v>
      </c>
      <c r="D2776" s="1" t="str">
        <f t="shared" ref="D2776:D2782" si="202">"FL"</f>
        <v>FL</v>
      </c>
      <c r="E2776" s="2">
        <v>1</v>
      </c>
      <c r="F2776" s="2">
        <v>1</v>
      </c>
      <c r="G2776" s="2">
        <v>1</v>
      </c>
      <c r="H2776" s="2">
        <v>1</v>
      </c>
    </row>
    <row r="2777" spans="1:8" x14ac:dyDescent="0.25">
      <c r="A2777" s="1" t="str">
        <f>"33069"</f>
        <v>33069</v>
      </c>
      <c r="B2777" s="1" t="str">
        <f>"22744"</f>
        <v>22744</v>
      </c>
      <c r="C2777" s="1" t="str">
        <f>"POMPANO BEACH"</f>
        <v>POMPANO BEACH</v>
      </c>
      <c r="D2777" s="1" t="str">
        <f t="shared" si="202"/>
        <v>FL</v>
      </c>
      <c r="E2777" s="2">
        <v>1</v>
      </c>
      <c r="F2777" s="2">
        <v>1</v>
      </c>
      <c r="G2777" s="2">
        <v>1</v>
      </c>
      <c r="H2777" s="2">
        <v>1</v>
      </c>
    </row>
    <row r="2778" spans="1:8" x14ac:dyDescent="0.25">
      <c r="A2778" s="1" t="str">
        <f>"33437"</f>
        <v>33437</v>
      </c>
      <c r="B2778" s="1" t="str">
        <f>"48424"</f>
        <v>48424</v>
      </c>
      <c r="C2778" s="1" t="str">
        <f>"BOYNTON BEACH"</f>
        <v>BOYNTON BEACH</v>
      </c>
      <c r="D2778" s="1" t="str">
        <f t="shared" si="202"/>
        <v>FL</v>
      </c>
      <c r="E2778" s="2">
        <v>1</v>
      </c>
      <c r="F2778" s="2">
        <v>1</v>
      </c>
      <c r="G2778" s="2">
        <v>1</v>
      </c>
      <c r="H2778" s="2">
        <v>1</v>
      </c>
    </row>
    <row r="2779" spans="1:8" x14ac:dyDescent="0.25">
      <c r="A2779" s="1" t="str">
        <f>"33496"</f>
        <v>33496</v>
      </c>
      <c r="B2779" s="1" t="str">
        <f>"48424"</f>
        <v>48424</v>
      </c>
      <c r="C2779" s="1" t="str">
        <f>"BOCA RATON"</f>
        <v>BOCA RATON</v>
      </c>
      <c r="D2779" s="1" t="str">
        <f t="shared" si="202"/>
        <v>FL</v>
      </c>
      <c r="E2779" s="2">
        <v>1</v>
      </c>
      <c r="F2779" s="2">
        <v>1</v>
      </c>
      <c r="G2779" s="2">
        <v>1</v>
      </c>
      <c r="H2779" s="2">
        <v>1</v>
      </c>
    </row>
    <row r="2780" spans="1:8" x14ac:dyDescent="0.25">
      <c r="A2780" s="1" t="str">
        <f>"33407"</f>
        <v>33407</v>
      </c>
      <c r="B2780" s="1" t="str">
        <f>"48424"</f>
        <v>48424</v>
      </c>
      <c r="C2780" s="1" t="str">
        <f>"WEST PALM BEACH"</f>
        <v>WEST PALM BEACH</v>
      </c>
      <c r="D2780" s="1" t="str">
        <f t="shared" si="202"/>
        <v>FL</v>
      </c>
      <c r="E2780" s="2">
        <v>1</v>
      </c>
      <c r="F2780" s="2">
        <v>1</v>
      </c>
      <c r="G2780" s="2">
        <v>1</v>
      </c>
      <c r="H2780" s="2">
        <v>1</v>
      </c>
    </row>
    <row r="2781" spans="1:8" x14ac:dyDescent="0.25">
      <c r="A2781" s="1" t="str">
        <f>"33313"</f>
        <v>33313</v>
      </c>
      <c r="B2781" s="1" t="str">
        <f>"22744"</f>
        <v>22744</v>
      </c>
      <c r="C2781" s="1" t="str">
        <f>"FORT LAUDERDALE"</f>
        <v>FORT LAUDERDALE</v>
      </c>
      <c r="D2781" s="1" t="str">
        <f t="shared" si="202"/>
        <v>FL</v>
      </c>
      <c r="E2781" s="2">
        <v>1</v>
      </c>
      <c r="F2781" s="2">
        <v>1</v>
      </c>
      <c r="G2781" s="2">
        <v>1</v>
      </c>
      <c r="H2781" s="2">
        <v>1</v>
      </c>
    </row>
    <row r="2782" spans="1:8" x14ac:dyDescent="0.25">
      <c r="A2782" s="1" t="str">
        <f>"33283"</f>
        <v>33283</v>
      </c>
      <c r="B2782" s="1" t="str">
        <f>"33124"</f>
        <v>33124</v>
      </c>
      <c r="C2782" s="1" t="str">
        <f>"MIAMI"</f>
        <v>MIAMI</v>
      </c>
      <c r="D2782" s="1" t="str">
        <f t="shared" si="202"/>
        <v>FL</v>
      </c>
      <c r="E2782" s="2">
        <v>1</v>
      </c>
      <c r="F2782" s="2">
        <v>1</v>
      </c>
      <c r="G2782" s="2">
        <v>1</v>
      </c>
      <c r="H2782" s="2">
        <v>1</v>
      </c>
    </row>
    <row r="2783" spans="1:8" x14ac:dyDescent="0.25">
      <c r="A2783" s="1" t="str">
        <f>"46392"</f>
        <v>46392</v>
      </c>
      <c r="B2783" s="1" t="str">
        <f>"23844"</f>
        <v>23844</v>
      </c>
      <c r="C2783" s="1" t="str">
        <f>"WHEATFIELD"</f>
        <v>WHEATFIELD</v>
      </c>
      <c r="D2783" s="1" t="str">
        <f>"IN"</f>
        <v>IN</v>
      </c>
      <c r="E2783" s="2">
        <v>1</v>
      </c>
      <c r="F2783" s="2">
        <v>1</v>
      </c>
      <c r="G2783" s="2">
        <v>1</v>
      </c>
      <c r="H2783" s="2">
        <v>1</v>
      </c>
    </row>
    <row r="2784" spans="1:8" x14ac:dyDescent="0.25">
      <c r="A2784" s="1" t="str">
        <f>"48067"</f>
        <v>48067</v>
      </c>
      <c r="B2784" s="1" t="str">
        <f t="shared" ref="B2784:B2789" si="203">"47664"</f>
        <v>47664</v>
      </c>
      <c r="C2784" s="1" t="str">
        <f>"ROYAL OAK"</f>
        <v>ROYAL OAK</v>
      </c>
      <c r="D2784" s="1" t="str">
        <f t="shared" ref="D2784:D2792" si="204">"MI"</f>
        <v>MI</v>
      </c>
      <c r="E2784" s="2">
        <v>1</v>
      </c>
      <c r="F2784" s="2">
        <v>1</v>
      </c>
      <c r="G2784" s="2">
        <v>1</v>
      </c>
      <c r="H2784" s="2">
        <v>1</v>
      </c>
    </row>
    <row r="2785" spans="1:8" x14ac:dyDescent="0.25">
      <c r="A2785" s="1" t="str">
        <f>"48061"</f>
        <v>48061</v>
      </c>
      <c r="B2785" s="1" t="str">
        <f t="shared" si="203"/>
        <v>47664</v>
      </c>
      <c r="C2785" s="1" t="str">
        <f>"PORT HURON"</f>
        <v>PORT HURON</v>
      </c>
      <c r="D2785" s="1" t="str">
        <f t="shared" si="204"/>
        <v>MI</v>
      </c>
      <c r="E2785" s="2">
        <v>1</v>
      </c>
      <c r="F2785" s="2">
        <v>1</v>
      </c>
      <c r="G2785" s="2">
        <v>1</v>
      </c>
      <c r="H2785" s="2">
        <v>1</v>
      </c>
    </row>
    <row r="2786" spans="1:8" x14ac:dyDescent="0.25">
      <c r="A2786" s="1" t="str">
        <f>"48381"</f>
        <v>48381</v>
      </c>
      <c r="B2786" s="1" t="str">
        <f t="shared" si="203"/>
        <v>47664</v>
      </c>
      <c r="C2786" s="1" t="str">
        <f>"MILFORD"</f>
        <v>MILFORD</v>
      </c>
      <c r="D2786" s="1" t="str">
        <f t="shared" si="204"/>
        <v>MI</v>
      </c>
      <c r="E2786" s="2">
        <v>1</v>
      </c>
      <c r="F2786" s="2">
        <v>1</v>
      </c>
      <c r="G2786" s="2">
        <v>1</v>
      </c>
      <c r="H2786" s="2">
        <v>1</v>
      </c>
    </row>
    <row r="2787" spans="1:8" x14ac:dyDescent="0.25">
      <c r="A2787" s="1" t="str">
        <f>"48382"</f>
        <v>48382</v>
      </c>
      <c r="B2787" s="1" t="str">
        <f t="shared" si="203"/>
        <v>47664</v>
      </c>
      <c r="C2787" s="1" t="str">
        <f>"COMMERCE TOWNSHIP"</f>
        <v>COMMERCE TOWNSHIP</v>
      </c>
      <c r="D2787" s="1" t="str">
        <f t="shared" si="204"/>
        <v>MI</v>
      </c>
      <c r="E2787" s="2">
        <v>1</v>
      </c>
      <c r="F2787" s="2">
        <v>1</v>
      </c>
      <c r="G2787" s="2">
        <v>1</v>
      </c>
      <c r="H2787" s="2">
        <v>1</v>
      </c>
    </row>
    <row r="2788" spans="1:8" x14ac:dyDescent="0.25">
      <c r="A2788" s="1" t="str">
        <f>"48359"</f>
        <v>48359</v>
      </c>
      <c r="B2788" s="1" t="str">
        <f t="shared" si="203"/>
        <v>47664</v>
      </c>
      <c r="C2788" s="1" t="str">
        <f>"LAKE ORION"</f>
        <v>LAKE ORION</v>
      </c>
      <c r="D2788" s="1" t="str">
        <f t="shared" si="204"/>
        <v>MI</v>
      </c>
      <c r="E2788" s="2">
        <v>1</v>
      </c>
      <c r="F2788" s="2">
        <v>1</v>
      </c>
      <c r="G2788" s="2">
        <v>1</v>
      </c>
      <c r="H2788" s="2">
        <v>1</v>
      </c>
    </row>
    <row r="2789" spans="1:8" x14ac:dyDescent="0.25">
      <c r="A2789" s="1" t="str">
        <f>"48306"</f>
        <v>48306</v>
      </c>
      <c r="B2789" s="1" t="str">
        <f t="shared" si="203"/>
        <v>47664</v>
      </c>
      <c r="C2789" s="1" t="str">
        <f>"ROCHESTER"</f>
        <v>ROCHESTER</v>
      </c>
      <c r="D2789" s="1" t="str">
        <f t="shared" si="204"/>
        <v>MI</v>
      </c>
      <c r="E2789" s="2">
        <v>1</v>
      </c>
      <c r="F2789" s="2">
        <v>1</v>
      </c>
      <c r="G2789" s="2">
        <v>1</v>
      </c>
      <c r="H2789" s="2">
        <v>1</v>
      </c>
    </row>
    <row r="2790" spans="1:8" x14ac:dyDescent="0.25">
      <c r="A2790" s="1" t="str">
        <f>"48128"</f>
        <v>48128</v>
      </c>
      <c r="B2790" s="1" t="str">
        <f>"19804"</f>
        <v>19804</v>
      </c>
      <c r="C2790" s="1" t="str">
        <f>"DEARBORN"</f>
        <v>DEARBORN</v>
      </c>
      <c r="D2790" s="1" t="str">
        <f t="shared" si="204"/>
        <v>MI</v>
      </c>
      <c r="E2790" s="2">
        <v>1</v>
      </c>
      <c r="F2790" s="2">
        <v>1</v>
      </c>
      <c r="G2790" s="2">
        <v>1</v>
      </c>
      <c r="H2790" s="2">
        <v>1</v>
      </c>
    </row>
    <row r="2791" spans="1:8" x14ac:dyDescent="0.25">
      <c r="A2791" s="1" t="str">
        <f>"48219"</f>
        <v>48219</v>
      </c>
      <c r="B2791" s="1" t="str">
        <f>"19804"</f>
        <v>19804</v>
      </c>
      <c r="C2791" s="1" t="str">
        <f>"DETROIT"</f>
        <v>DETROIT</v>
      </c>
      <c r="D2791" s="1" t="str">
        <f t="shared" si="204"/>
        <v>MI</v>
      </c>
      <c r="E2791" s="2">
        <v>0.99995440452307105</v>
      </c>
      <c r="F2791" s="2">
        <v>1</v>
      </c>
      <c r="G2791" s="2">
        <v>1</v>
      </c>
      <c r="H2791" s="2">
        <v>0.99995779344110003</v>
      </c>
    </row>
    <row r="2792" spans="1:8" x14ac:dyDescent="0.25">
      <c r="A2792" s="1" t="str">
        <f>"48219"</f>
        <v>48219</v>
      </c>
      <c r="B2792" s="1" t="str">
        <f>"47664"</f>
        <v>47664</v>
      </c>
      <c r="C2792" s="1" t="str">
        <f>"DETROIT"</f>
        <v>DETROIT</v>
      </c>
      <c r="D2792" s="1" t="str">
        <f t="shared" si="204"/>
        <v>MI</v>
      </c>
      <c r="E2792" s="2">
        <v>4.5595476928688599E-5</v>
      </c>
      <c r="F2792" s="2">
        <v>0</v>
      </c>
      <c r="G2792" s="2">
        <v>0</v>
      </c>
      <c r="H2792" s="2">
        <v>4.2206558899252903E-5</v>
      </c>
    </row>
    <row r="2793" spans="1:8" x14ac:dyDescent="0.25">
      <c r="A2793" s="1" t="str">
        <f>"53168"</f>
        <v>53168</v>
      </c>
      <c r="B2793" s="1" t="str">
        <f>"29404"</f>
        <v>29404</v>
      </c>
      <c r="C2793" s="1" t="str">
        <f>"SALEM"</f>
        <v>SALEM</v>
      </c>
      <c r="D2793" s="1" t="str">
        <f>"WI"</f>
        <v>WI</v>
      </c>
      <c r="E2793" s="2">
        <v>1</v>
      </c>
      <c r="F2793" s="2">
        <v>1</v>
      </c>
      <c r="G2793" s="2">
        <v>1</v>
      </c>
      <c r="H2793" s="2">
        <v>1</v>
      </c>
    </row>
    <row r="2794" spans="1:8" x14ac:dyDescent="0.25">
      <c r="A2794" s="1" t="str">
        <f>"53105"</f>
        <v>53105</v>
      </c>
      <c r="B2794" s="1" t="str">
        <f>"29404"</f>
        <v>29404</v>
      </c>
      <c r="C2794" s="1" t="str">
        <f>"BURLINGTON"</f>
        <v>BURLINGTON</v>
      </c>
      <c r="D2794" s="1" t="str">
        <f>"WI"</f>
        <v>WI</v>
      </c>
      <c r="E2794" s="2">
        <v>1</v>
      </c>
      <c r="F2794" s="2">
        <v>1</v>
      </c>
      <c r="G2794" s="2">
        <v>1</v>
      </c>
      <c r="H2794" s="2">
        <v>1</v>
      </c>
    </row>
    <row r="2795" spans="1:8" x14ac:dyDescent="0.25">
      <c r="A2795" s="1" t="str">
        <f>"60467"</f>
        <v>60467</v>
      </c>
      <c r="B2795" s="1" t="str">
        <f>"16984"</f>
        <v>16984</v>
      </c>
      <c r="C2795" s="1" t="str">
        <f>"ORLAND PARK"</f>
        <v>ORLAND PARK</v>
      </c>
      <c r="D2795" s="1" t="str">
        <f t="shared" ref="D2795:D2802" si="205">"IL"</f>
        <v>IL</v>
      </c>
      <c r="E2795" s="2">
        <v>1</v>
      </c>
      <c r="F2795" s="2">
        <v>1</v>
      </c>
      <c r="G2795" s="2">
        <v>1</v>
      </c>
      <c r="H2795" s="2">
        <v>1</v>
      </c>
    </row>
    <row r="2796" spans="1:8" x14ac:dyDescent="0.25">
      <c r="A2796" s="1" t="str">
        <f>"60466"</f>
        <v>60466</v>
      </c>
      <c r="B2796" s="1" t="str">
        <f>"16984"</f>
        <v>16984</v>
      </c>
      <c r="C2796" s="1" t="str">
        <f>"PARK FOREST"</f>
        <v>PARK FOREST</v>
      </c>
      <c r="D2796" s="1" t="str">
        <f t="shared" si="205"/>
        <v>IL</v>
      </c>
      <c r="E2796" s="2">
        <v>1</v>
      </c>
      <c r="F2796" s="2">
        <v>1</v>
      </c>
      <c r="G2796" s="2">
        <v>1</v>
      </c>
      <c r="H2796" s="2">
        <v>1</v>
      </c>
    </row>
    <row r="2797" spans="1:8" x14ac:dyDescent="0.25">
      <c r="A2797" s="1" t="str">
        <f>"60472"</f>
        <v>60472</v>
      </c>
      <c r="B2797" s="1" t="str">
        <f>"16984"</f>
        <v>16984</v>
      </c>
      <c r="C2797" s="1" t="str">
        <f>"ROBBINS"</f>
        <v>ROBBINS</v>
      </c>
      <c r="D2797" s="1" t="str">
        <f t="shared" si="205"/>
        <v>IL</v>
      </c>
      <c r="E2797" s="2">
        <v>1</v>
      </c>
      <c r="F2797" s="2">
        <v>1</v>
      </c>
      <c r="G2797" s="2">
        <v>1</v>
      </c>
      <c r="H2797" s="2">
        <v>1</v>
      </c>
    </row>
    <row r="2798" spans="1:8" x14ac:dyDescent="0.25">
      <c r="A2798" s="1" t="str">
        <f>"60512"</f>
        <v>60512</v>
      </c>
      <c r="B2798" s="1" t="str">
        <f>"20994"</f>
        <v>20994</v>
      </c>
      <c r="C2798" s="1" t="str">
        <f>"BRISTOL"</f>
        <v>BRISTOL</v>
      </c>
      <c r="D2798" s="1" t="str">
        <f t="shared" si="205"/>
        <v>IL</v>
      </c>
      <c r="E2798" s="2">
        <v>1</v>
      </c>
      <c r="F2798" s="2">
        <v>1</v>
      </c>
      <c r="G2798" s="2">
        <v>1</v>
      </c>
      <c r="H2798" s="2">
        <v>1</v>
      </c>
    </row>
    <row r="2799" spans="1:8" x14ac:dyDescent="0.25">
      <c r="A2799" s="1" t="str">
        <f>"60517"</f>
        <v>60517</v>
      </c>
      <c r="B2799" s="1" t="str">
        <f>"16984"</f>
        <v>16984</v>
      </c>
      <c r="C2799" s="1" t="str">
        <f>"WOODRIDGE"</f>
        <v>WOODRIDGE</v>
      </c>
      <c r="D2799" s="1" t="str">
        <f t="shared" si="205"/>
        <v>IL</v>
      </c>
      <c r="E2799" s="2">
        <v>1</v>
      </c>
      <c r="F2799" s="2">
        <v>1</v>
      </c>
      <c r="G2799" s="2">
        <v>1</v>
      </c>
      <c r="H2799" s="2">
        <v>1</v>
      </c>
    </row>
    <row r="2800" spans="1:8" x14ac:dyDescent="0.25">
      <c r="A2800" s="1" t="str">
        <f>"60048"</f>
        <v>60048</v>
      </c>
      <c r="B2800" s="1" t="str">
        <f>"29404"</f>
        <v>29404</v>
      </c>
      <c r="C2800" s="1" t="str">
        <f>"LIBERTYVILLE"</f>
        <v>LIBERTYVILLE</v>
      </c>
      <c r="D2800" s="1" t="str">
        <f t="shared" si="205"/>
        <v>IL</v>
      </c>
      <c r="E2800" s="2">
        <v>1</v>
      </c>
      <c r="F2800" s="2">
        <v>1</v>
      </c>
      <c r="G2800" s="2">
        <v>1</v>
      </c>
      <c r="H2800" s="2">
        <v>1</v>
      </c>
    </row>
    <row r="2801" spans="1:8" x14ac:dyDescent="0.25">
      <c r="A2801" s="1" t="str">
        <f>"60056"</f>
        <v>60056</v>
      </c>
      <c r="B2801" s="1" t="str">
        <f>"16984"</f>
        <v>16984</v>
      </c>
      <c r="C2801" s="1" t="str">
        <f>"MOUNT PROSPECT"</f>
        <v>MOUNT PROSPECT</v>
      </c>
      <c r="D2801" s="1" t="str">
        <f t="shared" si="205"/>
        <v>IL</v>
      </c>
      <c r="E2801" s="2">
        <v>1</v>
      </c>
      <c r="F2801" s="2">
        <v>1</v>
      </c>
      <c r="G2801" s="2">
        <v>1</v>
      </c>
      <c r="H2801" s="2">
        <v>1</v>
      </c>
    </row>
    <row r="2802" spans="1:8" x14ac:dyDescent="0.25">
      <c r="A2802" s="1" t="str">
        <f>"60187"</f>
        <v>60187</v>
      </c>
      <c r="B2802" s="1" t="str">
        <f>"16984"</f>
        <v>16984</v>
      </c>
      <c r="C2802" s="1" t="str">
        <f>"WHEATON"</f>
        <v>WHEATON</v>
      </c>
      <c r="D2802" s="1" t="str">
        <f t="shared" si="205"/>
        <v>IL</v>
      </c>
      <c r="E2802" s="2">
        <v>1</v>
      </c>
      <c r="F2802" s="2">
        <v>1</v>
      </c>
      <c r="G2802" s="2">
        <v>1</v>
      </c>
      <c r="H2802" s="2">
        <v>1</v>
      </c>
    </row>
    <row r="2803" spans="1:8" x14ac:dyDescent="0.25">
      <c r="A2803" s="1" t="str">
        <f>"75496"</f>
        <v>75496</v>
      </c>
      <c r="B2803" s="1" t="str">
        <f>"19124"</f>
        <v>19124</v>
      </c>
      <c r="C2803" s="1" t="str">
        <f>"WOLFE CITY"</f>
        <v>WOLFE CITY</v>
      </c>
      <c r="D2803" s="1" t="str">
        <f t="shared" ref="D2803:D2811" si="206">"TX"</f>
        <v>TX</v>
      </c>
      <c r="E2803" s="2">
        <v>1</v>
      </c>
      <c r="F2803" s="2">
        <v>1</v>
      </c>
      <c r="G2803" s="2">
        <v>1</v>
      </c>
      <c r="H2803" s="2">
        <v>1</v>
      </c>
    </row>
    <row r="2804" spans="1:8" x14ac:dyDescent="0.25">
      <c r="A2804" s="1" t="str">
        <f>"75211"</f>
        <v>75211</v>
      </c>
      <c r="B2804" s="1" t="str">
        <f>"19124"</f>
        <v>19124</v>
      </c>
      <c r="C2804" s="1" t="str">
        <f>"DALLAS"</f>
        <v>DALLAS</v>
      </c>
      <c r="D2804" s="1" t="str">
        <f t="shared" si="206"/>
        <v>TX</v>
      </c>
      <c r="E2804" s="2">
        <v>1</v>
      </c>
      <c r="F2804" s="2">
        <v>1</v>
      </c>
      <c r="G2804" s="2">
        <v>1</v>
      </c>
      <c r="H2804" s="2">
        <v>1</v>
      </c>
    </row>
    <row r="2805" spans="1:8" x14ac:dyDescent="0.25">
      <c r="A2805" s="1" t="str">
        <f>"75217"</f>
        <v>75217</v>
      </c>
      <c r="B2805" s="1" t="str">
        <f>"19124"</f>
        <v>19124</v>
      </c>
      <c r="C2805" s="1" t="str">
        <f>"DALLAS"</f>
        <v>DALLAS</v>
      </c>
      <c r="D2805" s="1" t="str">
        <f t="shared" si="206"/>
        <v>TX</v>
      </c>
      <c r="E2805" s="2">
        <v>1</v>
      </c>
      <c r="F2805" s="2">
        <v>1</v>
      </c>
      <c r="G2805" s="2">
        <v>1</v>
      </c>
      <c r="H2805" s="2">
        <v>1</v>
      </c>
    </row>
    <row r="2806" spans="1:8" x14ac:dyDescent="0.25">
      <c r="A2806" s="1" t="str">
        <f>"75143"</f>
        <v>75143</v>
      </c>
      <c r="B2806" s="1" t="str">
        <f>"19124"</f>
        <v>19124</v>
      </c>
      <c r="C2806" s="1" t="str">
        <f>"KEMP"</f>
        <v>KEMP</v>
      </c>
      <c r="D2806" s="1" t="str">
        <f t="shared" si="206"/>
        <v>TX</v>
      </c>
      <c r="E2806" s="2">
        <v>1</v>
      </c>
      <c r="F2806" s="2">
        <v>1</v>
      </c>
      <c r="G2806" s="2">
        <v>1</v>
      </c>
      <c r="H2806" s="2">
        <v>1</v>
      </c>
    </row>
    <row r="2807" spans="1:8" x14ac:dyDescent="0.25">
      <c r="A2807" s="1" t="str">
        <f>"76065"</f>
        <v>76065</v>
      </c>
      <c r="B2807" s="1" t="str">
        <f>"19124"</f>
        <v>19124</v>
      </c>
      <c r="C2807" s="1" t="str">
        <f>"MIDLOTHIAN"</f>
        <v>MIDLOTHIAN</v>
      </c>
      <c r="D2807" s="1" t="str">
        <f t="shared" si="206"/>
        <v>TX</v>
      </c>
      <c r="E2807" s="2">
        <v>1</v>
      </c>
      <c r="F2807" s="2">
        <v>1</v>
      </c>
      <c r="G2807" s="2">
        <v>1</v>
      </c>
      <c r="H2807" s="2">
        <v>1</v>
      </c>
    </row>
    <row r="2808" spans="1:8" x14ac:dyDescent="0.25">
      <c r="A2808" s="1" t="str">
        <f>"76092"</f>
        <v>76092</v>
      </c>
      <c r="B2808" s="1" t="str">
        <f>"23104"</f>
        <v>23104</v>
      </c>
      <c r="C2808" s="1" t="str">
        <f>"SOUTHLAKE"</f>
        <v>SOUTHLAKE</v>
      </c>
      <c r="D2808" s="1" t="str">
        <f t="shared" si="206"/>
        <v>TX</v>
      </c>
      <c r="E2808" s="2">
        <v>0.97576879020177898</v>
      </c>
      <c r="F2808" s="2">
        <v>0.99853070819864798</v>
      </c>
      <c r="G2808" s="2">
        <v>0.99421965317919003</v>
      </c>
      <c r="H2808" s="2">
        <v>0.98175065633604397</v>
      </c>
    </row>
    <row r="2809" spans="1:8" x14ac:dyDescent="0.25">
      <c r="A2809" s="1" t="str">
        <f>"76092"</f>
        <v>76092</v>
      </c>
      <c r="B2809" s="1" t="str">
        <f>"19124"</f>
        <v>19124</v>
      </c>
      <c r="C2809" s="1" t="str">
        <f>"SOUTHLAKE"</f>
        <v>SOUTHLAKE</v>
      </c>
      <c r="D2809" s="1" t="str">
        <f t="shared" si="206"/>
        <v>TX</v>
      </c>
      <c r="E2809" s="2">
        <v>2.4231209798220101E-2</v>
      </c>
      <c r="F2809" s="2">
        <v>1.4692918013517399E-3</v>
      </c>
      <c r="G2809" s="2">
        <v>5.7803468208092396E-3</v>
      </c>
      <c r="H2809" s="2">
        <v>1.8249343663955898E-2</v>
      </c>
    </row>
    <row r="2810" spans="1:8" x14ac:dyDescent="0.25">
      <c r="A2810" s="1" t="str">
        <f>"76022"</f>
        <v>76022</v>
      </c>
      <c r="B2810" s="1" t="str">
        <f>"23104"</f>
        <v>23104</v>
      </c>
      <c r="C2810" s="1" t="str">
        <f>"BEDFORD"</f>
        <v>BEDFORD</v>
      </c>
      <c r="D2810" s="1" t="str">
        <f t="shared" si="206"/>
        <v>TX</v>
      </c>
      <c r="E2810" s="2">
        <v>1</v>
      </c>
      <c r="F2810" s="2">
        <v>1</v>
      </c>
      <c r="G2810" s="2">
        <v>1</v>
      </c>
      <c r="H2810" s="2">
        <v>1</v>
      </c>
    </row>
    <row r="2811" spans="1:8" x14ac:dyDescent="0.25">
      <c r="A2811" s="1" t="str">
        <f>"76131"</f>
        <v>76131</v>
      </c>
      <c r="B2811" s="1" t="str">
        <f>"23104"</f>
        <v>23104</v>
      </c>
      <c r="C2811" s="1" t="str">
        <f>"FORT WORTH"</f>
        <v>FORT WORTH</v>
      </c>
      <c r="D2811" s="1" t="str">
        <f t="shared" si="206"/>
        <v>TX</v>
      </c>
      <c r="E2811" s="2">
        <v>1</v>
      </c>
      <c r="F2811" s="2">
        <v>1</v>
      </c>
      <c r="G2811" s="2">
        <v>1</v>
      </c>
      <c r="H2811" s="2">
        <v>1</v>
      </c>
    </row>
    <row r="2812" spans="1:8" x14ac:dyDescent="0.25">
      <c r="A2812" s="1" t="str">
        <f>"90034"</f>
        <v>90034</v>
      </c>
      <c r="B2812" s="1" t="str">
        <f t="shared" ref="B2812:B2819" si="207">"31084"</f>
        <v>31084</v>
      </c>
      <c r="C2812" s="1" t="str">
        <f>"LOS ANGELES"</f>
        <v>LOS ANGELES</v>
      </c>
      <c r="D2812" s="1" t="str">
        <f t="shared" ref="D2812:D2834" si="208">"CA"</f>
        <v>CA</v>
      </c>
      <c r="E2812" s="2">
        <v>1</v>
      </c>
      <c r="F2812" s="2">
        <v>1</v>
      </c>
      <c r="G2812" s="2">
        <v>1</v>
      </c>
      <c r="H2812" s="2">
        <v>1</v>
      </c>
    </row>
    <row r="2813" spans="1:8" x14ac:dyDescent="0.25">
      <c r="A2813" s="1" t="str">
        <f>"90067"</f>
        <v>90067</v>
      </c>
      <c r="B2813" s="1" t="str">
        <f t="shared" si="207"/>
        <v>31084</v>
      </c>
      <c r="C2813" s="1" t="str">
        <f>"LOS ANGELES"</f>
        <v>LOS ANGELES</v>
      </c>
      <c r="D2813" s="1" t="str">
        <f t="shared" si="208"/>
        <v>CA</v>
      </c>
      <c r="E2813" s="2">
        <v>1</v>
      </c>
      <c r="F2813" s="2">
        <v>1</v>
      </c>
      <c r="G2813" s="2">
        <v>1</v>
      </c>
      <c r="H2813" s="2">
        <v>1</v>
      </c>
    </row>
    <row r="2814" spans="1:8" x14ac:dyDescent="0.25">
      <c r="A2814" s="1" t="str">
        <f>"90002"</f>
        <v>90002</v>
      </c>
      <c r="B2814" s="1" t="str">
        <f t="shared" si="207"/>
        <v>31084</v>
      </c>
      <c r="C2814" s="1" t="str">
        <f>"LOS ANGELES"</f>
        <v>LOS ANGELES</v>
      </c>
      <c r="D2814" s="1" t="str">
        <f t="shared" si="208"/>
        <v>CA</v>
      </c>
      <c r="E2814" s="2">
        <v>1</v>
      </c>
      <c r="F2814" s="2">
        <v>1</v>
      </c>
      <c r="G2814" s="2">
        <v>1</v>
      </c>
      <c r="H2814" s="2">
        <v>1</v>
      </c>
    </row>
    <row r="2815" spans="1:8" x14ac:dyDescent="0.25">
      <c r="A2815" s="1" t="str">
        <f>"90059"</f>
        <v>90059</v>
      </c>
      <c r="B2815" s="1" t="str">
        <f t="shared" si="207"/>
        <v>31084</v>
      </c>
      <c r="C2815" s="1" t="str">
        <f>"LOS ANGELES"</f>
        <v>LOS ANGELES</v>
      </c>
      <c r="D2815" s="1" t="str">
        <f t="shared" si="208"/>
        <v>CA</v>
      </c>
      <c r="E2815" s="2">
        <v>1</v>
      </c>
      <c r="F2815" s="2">
        <v>1</v>
      </c>
      <c r="G2815" s="2">
        <v>1</v>
      </c>
      <c r="H2815" s="2">
        <v>1</v>
      </c>
    </row>
    <row r="2816" spans="1:8" x14ac:dyDescent="0.25">
      <c r="A2816" s="1" t="str">
        <f>"91355"</f>
        <v>91355</v>
      </c>
      <c r="B2816" s="1" t="str">
        <f t="shared" si="207"/>
        <v>31084</v>
      </c>
      <c r="C2816" s="1" t="str">
        <f>"VALENCIA"</f>
        <v>VALENCIA</v>
      </c>
      <c r="D2816" s="1" t="str">
        <f t="shared" si="208"/>
        <v>CA</v>
      </c>
      <c r="E2816" s="2">
        <v>1</v>
      </c>
      <c r="F2816" s="2">
        <v>1</v>
      </c>
      <c r="G2816" s="2">
        <v>1</v>
      </c>
      <c r="H2816" s="2">
        <v>1</v>
      </c>
    </row>
    <row r="2817" spans="1:8" x14ac:dyDescent="0.25">
      <c r="A2817" s="1" t="str">
        <f>"91310"</f>
        <v>91310</v>
      </c>
      <c r="B2817" s="1" t="str">
        <f t="shared" si="207"/>
        <v>31084</v>
      </c>
      <c r="C2817" s="1" t="str">
        <f>"CASTAIC"</f>
        <v>CASTAIC</v>
      </c>
      <c r="D2817" s="1" t="str">
        <f t="shared" si="208"/>
        <v>CA</v>
      </c>
      <c r="E2817" s="2">
        <v>1</v>
      </c>
      <c r="F2817" s="2">
        <v>1</v>
      </c>
      <c r="G2817" s="2">
        <v>1</v>
      </c>
      <c r="H2817" s="2">
        <v>1</v>
      </c>
    </row>
    <row r="2818" spans="1:8" x14ac:dyDescent="0.25">
      <c r="A2818" s="1" t="str">
        <f>"90601"</f>
        <v>90601</v>
      </c>
      <c r="B2818" s="1" t="str">
        <f t="shared" si="207"/>
        <v>31084</v>
      </c>
      <c r="C2818" s="1" t="str">
        <f>"WHITTIER"</f>
        <v>WHITTIER</v>
      </c>
      <c r="D2818" s="1" t="str">
        <f t="shared" si="208"/>
        <v>CA</v>
      </c>
      <c r="E2818" s="2">
        <v>1</v>
      </c>
      <c r="F2818" s="2">
        <v>1</v>
      </c>
      <c r="G2818" s="2">
        <v>1</v>
      </c>
      <c r="H2818" s="2">
        <v>1</v>
      </c>
    </row>
    <row r="2819" spans="1:8" x14ac:dyDescent="0.25">
      <c r="A2819" s="1" t="str">
        <f>"91413"</f>
        <v>91413</v>
      </c>
      <c r="B2819" s="1" t="str">
        <f t="shared" si="207"/>
        <v>31084</v>
      </c>
      <c r="C2819" s="1" t="str">
        <f>"SHERMAN OAKS"</f>
        <v>SHERMAN OAKS</v>
      </c>
      <c r="D2819" s="1" t="str">
        <f t="shared" si="208"/>
        <v>CA</v>
      </c>
      <c r="E2819" s="2">
        <v>1</v>
      </c>
      <c r="F2819" s="2">
        <v>1</v>
      </c>
      <c r="G2819" s="2">
        <v>1</v>
      </c>
      <c r="H2819" s="2">
        <v>1</v>
      </c>
    </row>
    <row r="2820" spans="1:8" x14ac:dyDescent="0.25">
      <c r="A2820" s="1" t="str">
        <f>"90740"</f>
        <v>90740</v>
      </c>
      <c r="B2820" s="1" t="str">
        <f>"11244"</f>
        <v>11244</v>
      </c>
      <c r="C2820" s="1" t="str">
        <f>"SEAL BEACH"</f>
        <v>SEAL BEACH</v>
      </c>
      <c r="D2820" s="1" t="str">
        <f t="shared" si="208"/>
        <v>CA</v>
      </c>
      <c r="E2820" s="2">
        <v>1</v>
      </c>
      <c r="F2820" s="2">
        <v>1</v>
      </c>
      <c r="G2820" s="2">
        <v>1</v>
      </c>
      <c r="H2820" s="2">
        <v>1</v>
      </c>
    </row>
    <row r="2821" spans="1:8" x14ac:dyDescent="0.25">
      <c r="A2821" s="1" t="str">
        <f>"90733"</f>
        <v>90733</v>
      </c>
      <c r="B2821" s="1" t="str">
        <f>"31084"</f>
        <v>31084</v>
      </c>
      <c r="C2821" s="1" t="str">
        <f>"SAN PEDRO"</f>
        <v>SAN PEDRO</v>
      </c>
      <c r="D2821" s="1" t="str">
        <f t="shared" si="208"/>
        <v>CA</v>
      </c>
      <c r="E2821" s="2">
        <v>1</v>
      </c>
      <c r="F2821" s="2">
        <v>1</v>
      </c>
      <c r="G2821" s="2">
        <v>1</v>
      </c>
      <c r="H2821" s="2">
        <v>1</v>
      </c>
    </row>
    <row r="2822" spans="1:8" x14ac:dyDescent="0.25">
      <c r="A2822" s="1" t="str">
        <f>"94066"</f>
        <v>94066</v>
      </c>
      <c r="B2822" s="1" t="str">
        <f>"41884"</f>
        <v>41884</v>
      </c>
      <c r="C2822" s="1" t="str">
        <f>"SAN BRUNO"</f>
        <v>SAN BRUNO</v>
      </c>
      <c r="D2822" s="1" t="str">
        <f t="shared" si="208"/>
        <v>CA</v>
      </c>
      <c r="E2822" s="2">
        <v>1</v>
      </c>
      <c r="F2822" s="2">
        <v>1</v>
      </c>
      <c r="G2822" s="2">
        <v>1</v>
      </c>
      <c r="H2822" s="2">
        <v>1</v>
      </c>
    </row>
    <row r="2823" spans="1:8" x14ac:dyDescent="0.25">
      <c r="A2823" s="1" t="str">
        <f>"94080"</f>
        <v>94080</v>
      </c>
      <c r="B2823" s="1" t="str">
        <f>"41884"</f>
        <v>41884</v>
      </c>
      <c r="C2823" s="1" t="str">
        <f>"SOUTH SAN FRANCISCO"</f>
        <v>SOUTH SAN FRANCISCO</v>
      </c>
      <c r="D2823" s="1" t="str">
        <f t="shared" si="208"/>
        <v>CA</v>
      </c>
      <c r="E2823" s="2">
        <v>1</v>
      </c>
      <c r="F2823" s="2">
        <v>1</v>
      </c>
      <c r="G2823" s="2">
        <v>1</v>
      </c>
      <c r="H2823" s="2">
        <v>1</v>
      </c>
    </row>
    <row r="2824" spans="1:8" x14ac:dyDescent="0.25">
      <c r="A2824" s="1" t="str">
        <f>"91775"</f>
        <v>91775</v>
      </c>
      <c r="B2824" s="1" t="str">
        <f>"31084"</f>
        <v>31084</v>
      </c>
      <c r="C2824" s="1" t="str">
        <f>"SAN GABRIEL"</f>
        <v>SAN GABRIEL</v>
      </c>
      <c r="D2824" s="1" t="str">
        <f t="shared" si="208"/>
        <v>CA</v>
      </c>
      <c r="E2824" s="2">
        <v>1</v>
      </c>
      <c r="F2824" s="2">
        <v>1</v>
      </c>
      <c r="G2824" s="2">
        <v>1</v>
      </c>
      <c r="H2824" s="2">
        <v>1</v>
      </c>
    </row>
    <row r="2825" spans="1:8" x14ac:dyDescent="0.25">
      <c r="A2825" s="1" t="str">
        <f>"91780"</f>
        <v>91780</v>
      </c>
      <c r="B2825" s="1" t="str">
        <f>"31084"</f>
        <v>31084</v>
      </c>
      <c r="C2825" s="1" t="str">
        <f>"TEMPLE CITY"</f>
        <v>TEMPLE CITY</v>
      </c>
      <c r="D2825" s="1" t="str">
        <f t="shared" si="208"/>
        <v>CA</v>
      </c>
      <c r="E2825" s="2">
        <v>1</v>
      </c>
      <c r="F2825" s="2">
        <v>1</v>
      </c>
      <c r="G2825" s="2">
        <v>1</v>
      </c>
      <c r="H2825" s="2">
        <v>1</v>
      </c>
    </row>
    <row r="2826" spans="1:8" x14ac:dyDescent="0.25">
      <c r="A2826" s="1" t="str">
        <f>"91745"</f>
        <v>91745</v>
      </c>
      <c r="B2826" s="1" t="str">
        <f>"31084"</f>
        <v>31084</v>
      </c>
      <c r="C2826" s="1" t="str">
        <f>"HACIENDA HEIGHTS"</f>
        <v>HACIENDA HEIGHTS</v>
      </c>
      <c r="D2826" s="1" t="str">
        <f t="shared" si="208"/>
        <v>CA</v>
      </c>
      <c r="E2826" s="2">
        <v>1</v>
      </c>
      <c r="F2826" s="2">
        <v>1</v>
      </c>
      <c r="G2826" s="2">
        <v>1</v>
      </c>
      <c r="H2826" s="2">
        <v>1</v>
      </c>
    </row>
    <row r="2827" spans="1:8" x14ac:dyDescent="0.25">
      <c r="A2827" s="1" t="str">
        <f>"94102"</f>
        <v>94102</v>
      </c>
      <c r="B2827" s="1" t="str">
        <f>"41884"</f>
        <v>41884</v>
      </c>
      <c r="C2827" s="1" t="str">
        <f>"SAN FRANCISCO"</f>
        <v>SAN FRANCISCO</v>
      </c>
      <c r="D2827" s="1" t="str">
        <f t="shared" si="208"/>
        <v>CA</v>
      </c>
      <c r="E2827" s="2">
        <v>1</v>
      </c>
      <c r="F2827" s="2">
        <v>1</v>
      </c>
      <c r="G2827" s="2">
        <v>1</v>
      </c>
      <c r="H2827" s="2">
        <v>1</v>
      </c>
    </row>
    <row r="2828" spans="1:8" x14ac:dyDescent="0.25">
      <c r="A2828" s="1" t="str">
        <f>"94121"</f>
        <v>94121</v>
      </c>
      <c r="B2828" s="1" t="str">
        <f>"41884"</f>
        <v>41884</v>
      </c>
      <c r="C2828" s="1" t="str">
        <f>"SAN FRANCISCO"</f>
        <v>SAN FRANCISCO</v>
      </c>
      <c r="D2828" s="1" t="str">
        <f t="shared" si="208"/>
        <v>CA</v>
      </c>
      <c r="E2828" s="2">
        <v>1</v>
      </c>
      <c r="F2828" s="2">
        <v>1</v>
      </c>
      <c r="G2828" s="2">
        <v>1</v>
      </c>
      <c r="H2828" s="2">
        <v>1</v>
      </c>
    </row>
    <row r="2829" spans="1:8" x14ac:dyDescent="0.25">
      <c r="A2829" s="1" t="str">
        <f>"94122"</f>
        <v>94122</v>
      </c>
      <c r="B2829" s="1" t="str">
        <f>"41884"</f>
        <v>41884</v>
      </c>
      <c r="C2829" s="1" t="str">
        <f>"SAN FRANCISCO"</f>
        <v>SAN FRANCISCO</v>
      </c>
      <c r="D2829" s="1" t="str">
        <f t="shared" si="208"/>
        <v>CA</v>
      </c>
      <c r="E2829" s="2">
        <v>1</v>
      </c>
      <c r="F2829" s="2">
        <v>1</v>
      </c>
      <c r="G2829" s="2">
        <v>1</v>
      </c>
      <c r="H2829" s="2">
        <v>1</v>
      </c>
    </row>
    <row r="2830" spans="1:8" x14ac:dyDescent="0.25">
      <c r="A2830" s="1" t="str">
        <f>"94979"</f>
        <v>94979</v>
      </c>
      <c r="B2830" s="1" t="str">
        <f>"42034"</f>
        <v>42034</v>
      </c>
      <c r="C2830" s="1" t="str">
        <f>"SAN ANSELMO"</f>
        <v>SAN ANSELMO</v>
      </c>
      <c r="D2830" s="1" t="str">
        <f t="shared" si="208"/>
        <v>CA</v>
      </c>
      <c r="E2830" s="2">
        <v>1</v>
      </c>
      <c r="F2830" s="2">
        <v>1</v>
      </c>
      <c r="G2830" s="2">
        <v>1</v>
      </c>
      <c r="H2830" s="2">
        <v>1</v>
      </c>
    </row>
    <row r="2831" spans="1:8" x14ac:dyDescent="0.25">
      <c r="A2831" s="1" t="str">
        <f>"94563"</f>
        <v>94563</v>
      </c>
      <c r="B2831" s="1" t="str">
        <f>"36084"</f>
        <v>36084</v>
      </c>
      <c r="C2831" s="1" t="str">
        <f>"ORINDA"</f>
        <v>ORINDA</v>
      </c>
      <c r="D2831" s="1" t="str">
        <f t="shared" si="208"/>
        <v>CA</v>
      </c>
      <c r="E2831" s="2">
        <v>1</v>
      </c>
      <c r="F2831" s="2">
        <v>1</v>
      </c>
      <c r="G2831" s="2">
        <v>1</v>
      </c>
      <c r="H2831" s="2">
        <v>1</v>
      </c>
    </row>
    <row r="2832" spans="1:8" x14ac:dyDescent="0.25">
      <c r="A2832" s="1" t="str">
        <f>"94612"</f>
        <v>94612</v>
      </c>
      <c r="B2832" s="1" t="str">
        <f>"36084"</f>
        <v>36084</v>
      </c>
      <c r="C2832" s="1" t="str">
        <f>"OAKLAND"</f>
        <v>OAKLAND</v>
      </c>
      <c r="D2832" s="1" t="str">
        <f t="shared" si="208"/>
        <v>CA</v>
      </c>
      <c r="E2832" s="2">
        <v>1</v>
      </c>
      <c r="F2832" s="2">
        <v>1</v>
      </c>
      <c r="G2832" s="2">
        <v>1</v>
      </c>
      <c r="H2832" s="2">
        <v>1</v>
      </c>
    </row>
    <row r="2833" spans="1:8" x14ac:dyDescent="0.25">
      <c r="A2833" s="1" t="str">
        <f>"94615"</f>
        <v>94615</v>
      </c>
      <c r="B2833" s="1" t="str">
        <f>"36084"</f>
        <v>36084</v>
      </c>
      <c r="C2833" s="1" t="str">
        <f>"OAKLAND"</f>
        <v>OAKLAND</v>
      </c>
      <c r="D2833" s="1" t="str">
        <f t="shared" si="208"/>
        <v>CA</v>
      </c>
      <c r="E2833" s="2">
        <v>0</v>
      </c>
      <c r="F2833" s="2">
        <v>1</v>
      </c>
      <c r="G2833" s="2">
        <v>1</v>
      </c>
      <c r="H2833" s="2">
        <v>1</v>
      </c>
    </row>
    <row r="2834" spans="1:8" x14ac:dyDescent="0.25">
      <c r="A2834" s="1" t="str">
        <f>"94707"</f>
        <v>94707</v>
      </c>
      <c r="B2834" s="1" t="str">
        <f>"36084"</f>
        <v>36084</v>
      </c>
      <c r="C2834" s="1" t="str">
        <f>"BERKELEY"</f>
        <v>BERKELEY</v>
      </c>
      <c r="D2834" s="1" t="str">
        <f t="shared" si="208"/>
        <v>CA</v>
      </c>
      <c r="E2834" s="2">
        <v>1</v>
      </c>
      <c r="F2834" s="2">
        <v>1</v>
      </c>
      <c r="G2834" s="2">
        <v>1</v>
      </c>
      <c r="H2834" s="2">
        <v>1</v>
      </c>
    </row>
    <row r="2835" spans="1:8" x14ac:dyDescent="0.25">
      <c r="A2835" s="1" t="str">
        <f>"98028"</f>
        <v>98028</v>
      </c>
      <c r="B2835" s="1" t="str">
        <f>"42644"</f>
        <v>42644</v>
      </c>
      <c r="C2835" s="1" t="str">
        <f>"KENMORE"</f>
        <v>KENMORE</v>
      </c>
      <c r="D2835" s="1" t="str">
        <f>"WA"</f>
        <v>WA</v>
      </c>
      <c r="E2835" s="2">
        <v>1</v>
      </c>
      <c r="F2835" s="2">
        <v>1</v>
      </c>
      <c r="G2835" s="2">
        <v>1</v>
      </c>
      <c r="H2835" s="2">
        <v>1</v>
      </c>
    </row>
    <row r="2836" spans="1:8" x14ac:dyDescent="0.25">
      <c r="A2836" s="1" t="str">
        <f>"98405"</f>
        <v>98405</v>
      </c>
      <c r="B2836" s="1" t="str">
        <f>"45104"</f>
        <v>45104</v>
      </c>
      <c r="C2836" s="1" t="str">
        <f>"TACOMA"</f>
        <v>TACOMA</v>
      </c>
      <c r="D2836" s="1" t="str">
        <f>"WA"</f>
        <v>WA</v>
      </c>
      <c r="E2836" s="2">
        <v>1</v>
      </c>
      <c r="F2836" s="2">
        <v>1</v>
      </c>
      <c r="G2836" s="2">
        <v>1</v>
      </c>
      <c r="H2836" s="2">
        <v>1</v>
      </c>
    </row>
    <row r="2837" spans="1:8" x14ac:dyDescent="0.25">
      <c r="A2837" s="1" t="str">
        <f>"98258"</f>
        <v>98258</v>
      </c>
      <c r="B2837" s="1" t="str">
        <f>"42644"</f>
        <v>42644</v>
      </c>
      <c r="C2837" s="1" t="str">
        <f>"LAKE STEVENS"</f>
        <v>LAKE STEVENS</v>
      </c>
      <c r="D2837" s="1" t="str">
        <f>"WA"</f>
        <v>WA</v>
      </c>
      <c r="E2837" s="2">
        <v>1</v>
      </c>
      <c r="F2837" s="2">
        <v>1</v>
      </c>
      <c r="G2837" s="2">
        <v>1</v>
      </c>
      <c r="H2837" s="2">
        <v>1</v>
      </c>
    </row>
    <row r="2838" spans="1:8" x14ac:dyDescent="0.25">
      <c r="A2838" s="1" t="str">
        <f>"02303"</f>
        <v>02303</v>
      </c>
      <c r="B2838" s="1" t="str">
        <f>"14454"</f>
        <v>14454</v>
      </c>
      <c r="C2838" s="1" t="str">
        <f>"BROCKTON"</f>
        <v>BROCKTON</v>
      </c>
      <c r="D2838" s="1" t="str">
        <f>"MA"</f>
        <v>MA</v>
      </c>
      <c r="E2838" s="2">
        <v>1</v>
      </c>
      <c r="F2838" s="2">
        <v>1</v>
      </c>
      <c r="G2838" s="2">
        <v>1</v>
      </c>
      <c r="H2838" s="2">
        <v>1</v>
      </c>
    </row>
    <row r="2839" spans="1:8" x14ac:dyDescent="0.25">
      <c r="A2839" s="1" t="str">
        <f>"03034"</f>
        <v>03034</v>
      </c>
      <c r="B2839" s="1" t="str">
        <f>"40484"</f>
        <v>40484</v>
      </c>
      <c r="C2839" s="1" t="str">
        <f>"CANDIA"</f>
        <v>CANDIA</v>
      </c>
      <c r="D2839" s="1" t="str">
        <f>"NH"</f>
        <v>NH</v>
      </c>
      <c r="E2839" s="2">
        <v>1</v>
      </c>
      <c r="F2839" s="2">
        <v>1</v>
      </c>
      <c r="G2839" s="2">
        <v>1</v>
      </c>
      <c r="H2839" s="2">
        <v>1</v>
      </c>
    </row>
    <row r="2840" spans="1:8" x14ac:dyDescent="0.25">
      <c r="A2840" s="1" t="str">
        <f>"03874"</f>
        <v>03874</v>
      </c>
      <c r="B2840" s="1" t="str">
        <f>"40484"</f>
        <v>40484</v>
      </c>
      <c r="C2840" s="1" t="str">
        <f>"SEABROOK"</f>
        <v>SEABROOK</v>
      </c>
      <c r="D2840" s="1" t="str">
        <f>"NH"</f>
        <v>NH</v>
      </c>
      <c r="E2840" s="2">
        <v>1</v>
      </c>
      <c r="F2840" s="2">
        <v>1</v>
      </c>
      <c r="G2840" s="2">
        <v>1</v>
      </c>
      <c r="H2840" s="2">
        <v>1</v>
      </c>
    </row>
    <row r="2841" spans="1:8" x14ac:dyDescent="0.25">
      <c r="A2841" s="1" t="str">
        <f>"07061"</f>
        <v>07061</v>
      </c>
      <c r="B2841" s="1" t="str">
        <f>"35084"</f>
        <v>35084</v>
      </c>
      <c r="C2841" s="1" t="str">
        <f>"PLAINFIELD"</f>
        <v>PLAINFIELD</v>
      </c>
      <c r="D2841" s="1" t="str">
        <f>"NJ"</f>
        <v>NJ</v>
      </c>
      <c r="E2841" s="2">
        <v>1</v>
      </c>
      <c r="F2841" s="2">
        <v>1</v>
      </c>
      <c r="G2841" s="2">
        <v>1</v>
      </c>
      <c r="H2841" s="2">
        <v>1</v>
      </c>
    </row>
    <row r="2842" spans="1:8" x14ac:dyDescent="0.25">
      <c r="A2842" s="1" t="str">
        <f>"07847"</f>
        <v>07847</v>
      </c>
      <c r="B2842" s="1" t="str">
        <f>"35084"</f>
        <v>35084</v>
      </c>
      <c r="C2842" s="1" t="str">
        <f>"KENVIL"</f>
        <v>KENVIL</v>
      </c>
      <c r="D2842" s="1" t="str">
        <f>"NJ"</f>
        <v>NJ</v>
      </c>
      <c r="E2842" s="2">
        <v>1</v>
      </c>
      <c r="F2842" s="2">
        <v>1</v>
      </c>
      <c r="G2842" s="2">
        <v>1</v>
      </c>
      <c r="H2842" s="2">
        <v>1</v>
      </c>
    </row>
    <row r="2843" spans="1:8" x14ac:dyDescent="0.25">
      <c r="A2843" s="1" t="str">
        <f>"08063"</f>
        <v>08063</v>
      </c>
      <c r="B2843" s="1" t="str">
        <f>"15804"</f>
        <v>15804</v>
      </c>
      <c r="C2843" s="1" t="str">
        <f>"NATIONAL PARK"</f>
        <v>NATIONAL PARK</v>
      </c>
      <c r="D2843" s="1" t="str">
        <f>"NJ"</f>
        <v>NJ</v>
      </c>
      <c r="E2843" s="2">
        <v>1</v>
      </c>
      <c r="F2843" s="2">
        <v>1</v>
      </c>
      <c r="G2843" s="2">
        <v>1</v>
      </c>
      <c r="H2843" s="2">
        <v>1</v>
      </c>
    </row>
    <row r="2844" spans="1:8" x14ac:dyDescent="0.25">
      <c r="A2844" s="1" t="str">
        <f>"10272"</f>
        <v>10272</v>
      </c>
      <c r="B2844" s="1" t="str">
        <f>"35614"</f>
        <v>35614</v>
      </c>
      <c r="C2844" s="1" t="str">
        <f>"NEW YORK"</f>
        <v>NEW YORK</v>
      </c>
      <c r="D2844" s="1" t="str">
        <f>"NY"</f>
        <v>NY</v>
      </c>
      <c r="E2844" s="2">
        <v>1</v>
      </c>
      <c r="F2844" s="2">
        <v>1</v>
      </c>
      <c r="G2844" s="2">
        <v>1</v>
      </c>
      <c r="H2844" s="2">
        <v>1</v>
      </c>
    </row>
    <row r="2845" spans="1:8" x14ac:dyDescent="0.25">
      <c r="A2845" s="1" t="str">
        <f>"11792"</f>
        <v>11792</v>
      </c>
      <c r="B2845" s="1" t="str">
        <f>"35004"</f>
        <v>35004</v>
      </c>
      <c r="C2845" s="1" t="str">
        <f>"WADING RIVER"</f>
        <v>WADING RIVER</v>
      </c>
      <c r="D2845" s="1" t="str">
        <f>"NY"</f>
        <v>NY</v>
      </c>
      <c r="E2845" s="2">
        <v>1</v>
      </c>
      <c r="F2845" s="2">
        <v>1</v>
      </c>
      <c r="G2845" s="2">
        <v>1</v>
      </c>
      <c r="H2845" s="2">
        <v>1</v>
      </c>
    </row>
    <row r="2846" spans="1:8" x14ac:dyDescent="0.25">
      <c r="A2846" s="1" t="str">
        <f>"20549"</f>
        <v>20549</v>
      </c>
      <c r="B2846" s="1" t="str">
        <f>"47894"</f>
        <v>47894</v>
      </c>
      <c r="C2846" s="1" t="str">
        <f>"WASHINGTON"</f>
        <v>WASHINGTON</v>
      </c>
      <c r="D2846" s="1" t="str">
        <f>"DC"</f>
        <v>DC</v>
      </c>
      <c r="E2846" s="2">
        <v>0</v>
      </c>
      <c r="F2846" s="2">
        <v>1</v>
      </c>
      <c r="G2846" s="2">
        <v>1</v>
      </c>
      <c r="H2846" s="2">
        <v>1</v>
      </c>
    </row>
    <row r="2847" spans="1:8" x14ac:dyDescent="0.25">
      <c r="A2847" s="1" t="str">
        <f>"98496"</f>
        <v>98496</v>
      </c>
      <c r="B2847" s="1" t="str">
        <f>"45104"</f>
        <v>45104</v>
      </c>
      <c r="C2847" s="1" t="str">
        <f>"LAKEWOOD"</f>
        <v>LAKEWOOD</v>
      </c>
      <c r="D2847" s="1" t="str">
        <f>"WA"</f>
        <v>WA</v>
      </c>
      <c r="E2847" s="2">
        <v>1</v>
      </c>
      <c r="F2847" s="2">
        <v>1</v>
      </c>
      <c r="G2847" s="2">
        <v>1</v>
      </c>
      <c r="H2847" s="2">
        <v>1</v>
      </c>
    </row>
    <row r="2848" spans="1:8" x14ac:dyDescent="0.25">
      <c r="A2848" s="1" t="str">
        <f>"03861"</f>
        <v>03861</v>
      </c>
      <c r="B2848" s="1" t="str">
        <f>"40484"</f>
        <v>40484</v>
      </c>
      <c r="C2848" s="1" t="str">
        <f>"LEE"</f>
        <v>LEE</v>
      </c>
      <c r="D2848" s="1" t="str">
        <f>"NH"</f>
        <v>NH</v>
      </c>
      <c r="E2848" s="2">
        <v>1</v>
      </c>
      <c r="F2848" s="2">
        <v>1</v>
      </c>
      <c r="G2848" s="2">
        <v>1</v>
      </c>
      <c r="H2848" s="2">
        <v>1</v>
      </c>
    </row>
    <row r="2849" spans="1:8" x14ac:dyDescent="0.25">
      <c r="A2849" s="1" t="str">
        <f>"19399"</f>
        <v>19399</v>
      </c>
      <c r="B2849" s="1" t="str">
        <f>"33874"</f>
        <v>33874</v>
      </c>
      <c r="C2849" s="1" t="str">
        <f>"SOUTHEASTERN"</f>
        <v>SOUTHEASTERN</v>
      </c>
      <c r="D2849" s="1" t="str">
        <f>"PA"</f>
        <v>PA</v>
      </c>
      <c r="E2849" s="2">
        <v>1</v>
      </c>
      <c r="F2849" s="2">
        <v>1</v>
      </c>
      <c r="G2849" s="2">
        <v>1</v>
      </c>
      <c r="H2849" s="2">
        <v>1</v>
      </c>
    </row>
    <row r="2850" spans="1:8" x14ac:dyDescent="0.25">
      <c r="A2850" s="1" t="str">
        <f>"20156"</f>
        <v>20156</v>
      </c>
      <c r="B2850" s="1" t="str">
        <f>"47894"</f>
        <v>47894</v>
      </c>
      <c r="C2850" s="1" t="str">
        <f>"GAINESVILLE"</f>
        <v>GAINESVILLE</v>
      </c>
      <c r="D2850" s="1" t="str">
        <f>"VA"</f>
        <v>VA</v>
      </c>
      <c r="E2850" s="2">
        <v>1</v>
      </c>
      <c r="F2850" s="2">
        <v>1</v>
      </c>
      <c r="G2850" s="2">
        <v>1</v>
      </c>
      <c r="H2850" s="2">
        <v>1</v>
      </c>
    </row>
    <row r="2851" spans="1:8" x14ac:dyDescent="0.25">
      <c r="A2851" s="1" t="str">
        <f>"33302"</f>
        <v>33302</v>
      </c>
      <c r="B2851" s="1" t="str">
        <f>"22744"</f>
        <v>22744</v>
      </c>
      <c r="C2851" s="1" t="str">
        <f>"FORT LAUDERDALE"</f>
        <v>FORT LAUDERDALE</v>
      </c>
      <c r="D2851" s="1" t="str">
        <f>"FL"</f>
        <v>FL</v>
      </c>
      <c r="E2851" s="2">
        <v>1</v>
      </c>
      <c r="F2851" s="2">
        <v>1</v>
      </c>
      <c r="G2851" s="2">
        <v>1</v>
      </c>
      <c r="H2851" s="2">
        <v>1</v>
      </c>
    </row>
    <row r="2852" spans="1:8" x14ac:dyDescent="0.25">
      <c r="A2852" s="1" t="str">
        <f>"90408"</f>
        <v>90408</v>
      </c>
      <c r="B2852" s="1" t="str">
        <f>"31084"</f>
        <v>31084</v>
      </c>
      <c r="C2852" s="1" t="str">
        <f>"SANTA MONICA"</f>
        <v>SANTA MONICA</v>
      </c>
      <c r="D2852" s="1" t="str">
        <f>"CA"</f>
        <v>CA</v>
      </c>
      <c r="E2852" s="2">
        <v>1</v>
      </c>
      <c r="F2852" s="2">
        <v>1</v>
      </c>
      <c r="G2852" s="2">
        <v>1</v>
      </c>
      <c r="H2852" s="2">
        <v>1</v>
      </c>
    </row>
    <row r="2853" spans="1:8" x14ac:dyDescent="0.25">
      <c r="A2853" s="1" t="str">
        <f>"92838"</f>
        <v>92838</v>
      </c>
      <c r="B2853" s="1" t="str">
        <f>"11244"</f>
        <v>11244</v>
      </c>
      <c r="C2853" s="1" t="str">
        <f>"FULLERTON"</f>
        <v>FULLERTON</v>
      </c>
      <c r="D2853" s="1" t="str">
        <f>"CA"</f>
        <v>CA</v>
      </c>
      <c r="E2853" s="2">
        <v>1</v>
      </c>
      <c r="F2853" s="2">
        <v>1</v>
      </c>
      <c r="G2853" s="2">
        <v>1</v>
      </c>
      <c r="H2853" s="2">
        <v>1</v>
      </c>
    </row>
    <row r="2854" spans="1:8" x14ac:dyDescent="0.25">
      <c r="A2854" s="1" t="str">
        <f>"20571"</f>
        <v>20571</v>
      </c>
      <c r="B2854" s="1" t="str">
        <f>"47894"</f>
        <v>47894</v>
      </c>
      <c r="C2854" s="1" t="str">
        <f>"WASHINGTON"</f>
        <v>WASHINGTON</v>
      </c>
      <c r="D2854" s="1" t="str">
        <f>"DC"</f>
        <v>DC</v>
      </c>
      <c r="E2854" s="2">
        <v>0</v>
      </c>
      <c r="F2854" s="2">
        <v>1</v>
      </c>
      <c r="G2854" s="2">
        <v>0</v>
      </c>
      <c r="H2854" s="2">
        <v>1</v>
      </c>
    </row>
    <row r="2855" spans="1:8" x14ac:dyDescent="0.25">
      <c r="A2855" s="1" t="str">
        <f>"22732"</f>
        <v>22732</v>
      </c>
      <c r="B2855" s="1" t="str">
        <f>"47894"</f>
        <v>47894</v>
      </c>
      <c r="C2855" s="1" t="str">
        <f>"RADIANT"</f>
        <v>RADIANT</v>
      </c>
      <c r="D2855" s="1" t="str">
        <f>"VA"</f>
        <v>VA</v>
      </c>
      <c r="E2855" s="2">
        <v>1</v>
      </c>
      <c r="F2855" s="2">
        <v>1</v>
      </c>
      <c r="G2855" s="2">
        <v>1</v>
      </c>
      <c r="H2855" s="2">
        <v>1</v>
      </c>
    </row>
    <row r="2856" spans="1:8" x14ac:dyDescent="0.25">
      <c r="A2856" s="1" t="str">
        <f>"75339"</f>
        <v>75339</v>
      </c>
      <c r="B2856" s="1" t="str">
        <f>"19124"</f>
        <v>19124</v>
      </c>
      <c r="C2856" s="1" t="str">
        <f>"DALLAS"</f>
        <v>DALLAS</v>
      </c>
      <c r="D2856" s="1" t="str">
        <f>"TX"</f>
        <v>TX</v>
      </c>
      <c r="E2856" s="2">
        <v>1</v>
      </c>
      <c r="F2856" s="2">
        <v>1</v>
      </c>
      <c r="G2856" s="2">
        <v>1</v>
      </c>
      <c r="H2856" s="2">
        <v>1</v>
      </c>
    </row>
    <row r="2857" spans="1:8" x14ac:dyDescent="0.25">
      <c r="A2857" s="1" t="str">
        <f>"98082"</f>
        <v>98082</v>
      </c>
      <c r="B2857" s="1" t="str">
        <f>"42644"</f>
        <v>42644</v>
      </c>
      <c r="C2857" s="1" t="str">
        <f>"MILL CREEK"</f>
        <v>MILL CREEK</v>
      </c>
      <c r="D2857" s="1" t="str">
        <f>"WA"</f>
        <v>WA</v>
      </c>
      <c r="E2857" s="2">
        <v>1</v>
      </c>
      <c r="F2857" s="2">
        <v>1</v>
      </c>
      <c r="G2857" s="2">
        <v>1</v>
      </c>
      <c r="H2857" s="2">
        <v>1</v>
      </c>
    </row>
    <row r="2858" spans="1:8" x14ac:dyDescent="0.25">
      <c r="A2858" s="1" t="str">
        <f>"48143"</f>
        <v>48143</v>
      </c>
      <c r="B2858" s="1" t="str">
        <f>"47664"</f>
        <v>47664</v>
      </c>
      <c r="C2858" s="1" t="str">
        <f>"LAKELAND"</f>
        <v>LAKELAND</v>
      </c>
      <c r="D2858" s="1" t="str">
        <f>"MI"</f>
        <v>MI</v>
      </c>
      <c r="E2858" s="2">
        <v>1</v>
      </c>
      <c r="F2858" s="2">
        <v>0</v>
      </c>
      <c r="G2858" s="2">
        <v>1</v>
      </c>
      <c r="H2858" s="2">
        <v>1</v>
      </c>
    </row>
    <row r="2859" spans="1:8" x14ac:dyDescent="0.25">
      <c r="A2859" s="1" t="str">
        <f>"92814"</f>
        <v>92814</v>
      </c>
      <c r="B2859" s="1" t="str">
        <f>"11244"</f>
        <v>11244</v>
      </c>
      <c r="C2859" s="1" t="str">
        <f>"ANAHEIM"</f>
        <v>ANAHEIM</v>
      </c>
      <c r="D2859" s="1" t="str">
        <f>"CA"</f>
        <v>CA</v>
      </c>
      <c r="E2859" s="2">
        <v>1</v>
      </c>
      <c r="F2859" s="2">
        <v>1</v>
      </c>
      <c r="G2859" s="2">
        <v>1</v>
      </c>
      <c r="H2859" s="2">
        <v>1</v>
      </c>
    </row>
    <row r="2860" spans="1:8" x14ac:dyDescent="0.25">
      <c r="A2860" s="1" t="str">
        <f>"49285"</f>
        <v>49285</v>
      </c>
      <c r="B2860" s="1" t="str">
        <f>"47664"</f>
        <v>47664</v>
      </c>
      <c r="C2860" s="1" t="str">
        <f>"STOCKBRIDGE"</f>
        <v>STOCKBRIDGE</v>
      </c>
      <c r="D2860" s="1" t="str">
        <f>"MI"</f>
        <v>MI</v>
      </c>
      <c r="E2860" s="2">
        <v>1</v>
      </c>
      <c r="F2860" s="2">
        <v>1</v>
      </c>
      <c r="G2860" s="2">
        <v>0</v>
      </c>
      <c r="H2860" s="2">
        <v>1</v>
      </c>
    </row>
    <row r="2861" spans="1:8" x14ac:dyDescent="0.25">
      <c r="A2861" s="1" t="str">
        <f>"94973"</f>
        <v>94973</v>
      </c>
      <c r="B2861" s="1" t="str">
        <f>"42034"</f>
        <v>42034</v>
      </c>
      <c r="C2861" s="1" t="str">
        <f>"WOODACRE"</f>
        <v>WOODACRE</v>
      </c>
      <c r="D2861" s="1" t="str">
        <f>"CA"</f>
        <v>CA</v>
      </c>
      <c r="E2861" s="2">
        <v>1</v>
      </c>
      <c r="F2861" s="2">
        <v>1</v>
      </c>
      <c r="G2861" s="2">
        <v>1</v>
      </c>
      <c r="H2861" s="2">
        <v>1</v>
      </c>
    </row>
    <row r="2862" spans="1:8" x14ac:dyDescent="0.25">
      <c r="A2862" s="1" t="str">
        <f>"98035"</f>
        <v>98035</v>
      </c>
      <c r="B2862" s="1" t="str">
        <f>"42644"</f>
        <v>42644</v>
      </c>
      <c r="C2862" s="1" t="str">
        <f>"KENT"</f>
        <v>KENT</v>
      </c>
      <c r="D2862" s="1" t="str">
        <f>"WA"</f>
        <v>WA</v>
      </c>
      <c r="E2862" s="2">
        <v>1</v>
      </c>
      <c r="F2862" s="2">
        <v>1</v>
      </c>
      <c r="G2862" s="2">
        <v>1</v>
      </c>
      <c r="H2862" s="2">
        <v>1</v>
      </c>
    </row>
    <row r="2863" spans="1:8" x14ac:dyDescent="0.25">
      <c r="A2863" s="1" t="str">
        <f>"21762"</f>
        <v>21762</v>
      </c>
      <c r="B2863" s="1" t="str">
        <f>"23224"</f>
        <v>23224</v>
      </c>
      <c r="C2863" s="1" t="str">
        <f>"LIBERTYTOWN"</f>
        <v>LIBERTYTOWN</v>
      </c>
      <c r="D2863" s="1" t="str">
        <f>"MD"</f>
        <v>MD</v>
      </c>
      <c r="E2863" s="2">
        <v>0</v>
      </c>
      <c r="F2863" s="2">
        <v>1</v>
      </c>
      <c r="G2863" s="2">
        <v>0</v>
      </c>
      <c r="H2863" s="2">
        <v>1</v>
      </c>
    </row>
    <row r="2864" spans="1:8" x14ac:dyDescent="0.25">
      <c r="A2864" s="1" t="str">
        <f>"01434"</f>
        <v>01434</v>
      </c>
      <c r="B2864" s="1" t="str">
        <f>"15764"</f>
        <v>15764</v>
      </c>
      <c r="C2864" s="1" t="str">
        <f>"DEVENS"</f>
        <v>DEVENS</v>
      </c>
      <c r="D2864" s="1" t="str">
        <f>"MA"</f>
        <v>MA</v>
      </c>
      <c r="E2864" s="2">
        <v>1</v>
      </c>
      <c r="F2864" s="2">
        <v>1</v>
      </c>
      <c r="G2864" s="2">
        <v>1</v>
      </c>
      <c r="H2864" s="2">
        <v>1</v>
      </c>
    </row>
    <row r="2865" spans="1:8" x14ac:dyDescent="0.25">
      <c r="A2865" s="1" t="str">
        <f>"11549"</f>
        <v>11549</v>
      </c>
      <c r="B2865" s="1" t="str">
        <f>"35004"</f>
        <v>35004</v>
      </c>
      <c r="C2865" s="1" t="str">
        <f>"HEMPSTEAD"</f>
        <v>HEMPSTEAD</v>
      </c>
      <c r="D2865" s="1" t="str">
        <f>"NY"</f>
        <v>NY</v>
      </c>
      <c r="E2865" s="2">
        <v>0</v>
      </c>
      <c r="F2865" s="2">
        <v>1</v>
      </c>
      <c r="G2865" s="2">
        <v>0</v>
      </c>
      <c r="H2865" s="2">
        <v>1</v>
      </c>
    </row>
    <row r="2866" spans="1:8" x14ac:dyDescent="0.25">
      <c r="A2866" s="1" t="str">
        <f>"22711"</f>
        <v>22711</v>
      </c>
      <c r="B2866" s="1" t="str">
        <f>"47894"</f>
        <v>47894</v>
      </c>
      <c r="C2866" s="1" t="str">
        <f>"BANCO"</f>
        <v>BANCO</v>
      </c>
      <c r="D2866" s="1" t="str">
        <f>"VA"</f>
        <v>VA</v>
      </c>
      <c r="E2866" s="2">
        <v>1</v>
      </c>
      <c r="F2866" s="2">
        <v>1</v>
      </c>
      <c r="G2866" s="2">
        <v>0</v>
      </c>
      <c r="H2866" s="2">
        <v>1</v>
      </c>
    </row>
    <row r="2867" spans="1:8" x14ac:dyDescent="0.25">
      <c r="A2867" s="1" t="str">
        <f>"33448"</f>
        <v>33448</v>
      </c>
      <c r="B2867" s="1" t="str">
        <f>"48424"</f>
        <v>48424</v>
      </c>
      <c r="C2867" s="1" t="str">
        <f>"DELRAY BEACH"</f>
        <v>DELRAY BEACH</v>
      </c>
      <c r="D2867" s="1" t="str">
        <f>"FL"</f>
        <v>FL</v>
      </c>
      <c r="E2867" s="2">
        <v>1</v>
      </c>
      <c r="F2867" s="2">
        <v>1</v>
      </c>
      <c r="G2867" s="2">
        <v>1</v>
      </c>
      <c r="H2867" s="2">
        <v>1</v>
      </c>
    </row>
    <row r="2868" spans="1:8" x14ac:dyDescent="0.25">
      <c r="A2868" s="1" t="str">
        <f>"92836"</f>
        <v>92836</v>
      </c>
      <c r="B2868" s="1" t="str">
        <f>"11244"</f>
        <v>11244</v>
      </c>
      <c r="C2868" s="1" t="str">
        <f>"FULLERTON"</f>
        <v>FULLERTON</v>
      </c>
      <c r="D2868" s="1" t="str">
        <f>"CA"</f>
        <v>CA</v>
      </c>
      <c r="E2868" s="2">
        <v>1</v>
      </c>
      <c r="F2868" s="2">
        <v>1</v>
      </c>
      <c r="G2868" s="2">
        <v>1</v>
      </c>
      <c r="H2868" s="2">
        <v>1</v>
      </c>
    </row>
    <row r="2869" spans="1:8" x14ac:dyDescent="0.25">
      <c r="A2869" s="1" t="str">
        <f>"47959"</f>
        <v>47959</v>
      </c>
      <c r="B2869" s="1" t="str">
        <f>"23844"</f>
        <v>23844</v>
      </c>
      <c r="C2869" s="1" t="str">
        <f>"MONON"</f>
        <v>MONON</v>
      </c>
      <c r="D2869" s="1" t="str">
        <f>"IN"</f>
        <v>IN</v>
      </c>
      <c r="E2869" s="2">
        <v>1</v>
      </c>
      <c r="F2869" s="2">
        <v>1</v>
      </c>
      <c r="G2869" s="2">
        <v>0</v>
      </c>
      <c r="H2869" s="2">
        <v>1</v>
      </c>
    </row>
    <row r="2870" spans="1:8" x14ac:dyDescent="0.25">
      <c r="A2870" s="1" t="str">
        <f>"20612"</f>
        <v>20612</v>
      </c>
      <c r="B2870" s="1" t="str">
        <f>"47894"</f>
        <v>47894</v>
      </c>
      <c r="C2870" s="1" t="str">
        <f>"BENEDICT"</f>
        <v>BENEDICT</v>
      </c>
      <c r="D2870" s="1" t="str">
        <f>"MD"</f>
        <v>MD</v>
      </c>
      <c r="E2870" s="2">
        <v>1</v>
      </c>
      <c r="F2870" s="2">
        <v>1</v>
      </c>
      <c r="G2870" s="2">
        <v>1</v>
      </c>
      <c r="H2870" s="2">
        <v>1</v>
      </c>
    </row>
    <row r="2871" spans="1:8" x14ac:dyDescent="0.25">
      <c r="A2871" s="1" t="str">
        <f>"94913"</f>
        <v>94913</v>
      </c>
      <c r="B2871" s="1" t="str">
        <f>"42034"</f>
        <v>42034</v>
      </c>
      <c r="C2871" s="1" t="str">
        <f>"SAN RAFAEL"</f>
        <v>SAN RAFAEL</v>
      </c>
      <c r="D2871" s="1" t="str">
        <f>"CA"</f>
        <v>CA</v>
      </c>
      <c r="E2871" s="2">
        <v>1</v>
      </c>
      <c r="F2871" s="2">
        <v>1</v>
      </c>
      <c r="G2871" s="2">
        <v>1</v>
      </c>
      <c r="H2871" s="2">
        <v>1</v>
      </c>
    </row>
    <row r="2872" spans="1:8" x14ac:dyDescent="0.25">
      <c r="A2872" s="1" t="str">
        <f>"61068"</f>
        <v>61068</v>
      </c>
      <c r="B2872" s="1" t="str">
        <f>"20994"</f>
        <v>20994</v>
      </c>
      <c r="C2872" s="1" t="str">
        <f>"ROCHELLE"</f>
        <v>ROCHELLE</v>
      </c>
      <c r="D2872" s="1" t="str">
        <f>"IL"</f>
        <v>IL</v>
      </c>
      <c r="E2872" s="2">
        <v>1</v>
      </c>
      <c r="F2872" s="2">
        <v>1</v>
      </c>
      <c r="G2872" s="2">
        <v>0</v>
      </c>
      <c r="H2872" s="2">
        <v>1</v>
      </c>
    </row>
    <row r="2873" spans="1:8" x14ac:dyDescent="0.25">
      <c r="A2873" s="1" t="str">
        <f>"21902"</f>
        <v>21902</v>
      </c>
      <c r="B2873" s="1" t="str">
        <f>"48864"</f>
        <v>48864</v>
      </c>
      <c r="C2873" s="1" t="str">
        <f>"PERRY POINT"</f>
        <v>PERRY POINT</v>
      </c>
      <c r="D2873" s="1" t="str">
        <f>"MD"</f>
        <v>MD</v>
      </c>
      <c r="E2873" s="2">
        <v>1</v>
      </c>
      <c r="F2873" s="2">
        <v>1</v>
      </c>
      <c r="G2873" s="2">
        <v>1</v>
      </c>
      <c r="H2873" s="2">
        <v>1</v>
      </c>
    </row>
    <row r="2874" spans="1:8" x14ac:dyDescent="0.25">
      <c r="A2874" s="1" t="str">
        <f>"10154"</f>
        <v>10154</v>
      </c>
      <c r="B2874" s="1" t="str">
        <f>"35614"</f>
        <v>35614</v>
      </c>
      <c r="C2874" s="1" t="str">
        <f>"NEW YORK"</f>
        <v>NEW YORK</v>
      </c>
      <c r="D2874" s="1" t="str">
        <f>"NY"</f>
        <v>NY</v>
      </c>
      <c r="E2874" s="2">
        <v>0</v>
      </c>
      <c r="F2874" s="2">
        <v>1</v>
      </c>
      <c r="G2874" s="2">
        <v>1</v>
      </c>
      <c r="H2874" s="2">
        <v>1</v>
      </c>
    </row>
    <row r="2875" spans="1:8" x14ac:dyDescent="0.25">
      <c r="A2875" s="1" t="str">
        <f>"11405"</f>
        <v>11405</v>
      </c>
      <c r="B2875" s="1" t="str">
        <f>"35614"</f>
        <v>35614</v>
      </c>
      <c r="C2875" s="1" t="str">
        <f>"JAMAICA"</f>
        <v>JAMAICA</v>
      </c>
      <c r="D2875" s="1" t="str">
        <f>"NY"</f>
        <v>NY</v>
      </c>
      <c r="E2875" s="2">
        <v>0</v>
      </c>
      <c r="F2875" s="2">
        <v>1</v>
      </c>
      <c r="G2875" s="2">
        <v>0</v>
      </c>
      <c r="H2875" s="2">
        <v>1</v>
      </c>
    </row>
    <row r="2876" spans="1:8" x14ac:dyDescent="0.25">
      <c r="A2876" s="1" t="str">
        <f>"20503"</f>
        <v>20503</v>
      </c>
      <c r="B2876" s="1" t="str">
        <f>"47894"</f>
        <v>47894</v>
      </c>
      <c r="C2876" s="1" t="str">
        <f>"WASHINGTON"</f>
        <v>WASHINGTON</v>
      </c>
      <c r="D2876" s="1" t="str">
        <f>"DC"</f>
        <v>DC</v>
      </c>
      <c r="E2876" s="2">
        <v>0</v>
      </c>
      <c r="F2876" s="2">
        <v>1</v>
      </c>
      <c r="G2876" s="2">
        <v>1</v>
      </c>
      <c r="H2876" s="2">
        <v>1</v>
      </c>
    </row>
    <row r="2877" spans="1:8" x14ac:dyDescent="0.25">
      <c r="A2877" s="1" t="str">
        <f>"18340"</f>
        <v>18340</v>
      </c>
      <c r="B2877" s="1" t="str">
        <f>"35084"</f>
        <v>35084</v>
      </c>
      <c r="C2877" s="1" t="str">
        <f>"MILLRIFT"</f>
        <v>MILLRIFT</v>
      </c>
      <c r="D2877" s="1" t="str">
        <f>"PA"</f>
        <v>PA</v>
      </c>
      <c r="E2877" s="2">
        <v>1</v>
      </c>
      <c r="F2877" s="2">
        <v>1</v>
      </c>
      <c r="G2877" s="2">
        <v>0</v>
      </c>
      <c r="H2877" s="2">
        <v>1</v>
      </c>
    </row>
    <row r="2878" spans="1:8" x14ac:dyDescent="0.25">
      <c r="A2878" s="1" t="str">
        <f>"10124"</f>
        <v>10124</v>
      </c>
      <c r="B2878" s="1" t="str">
        <f>"35614"</f>
        <v>35614</v>
      </c>
      <c r="C2878" s="1" t="str">
        <f>"NEW YORK"</f>
        <v>NEW YORK</v>
      </c>
      <c r="D2878" s="1" t="str">
        <f>"NY"</f>
        <v>NY</v>
      </c>
      <c r="E2878" s="2">
        <v>0</v>
      </c>
      <c r="F2878" s="2">
        <v>0</v>
      </c>
      <c r="G2878" s="2">
        <v>1</v>
      </c>
      <c r="H2878" s="2">
        <v>1</v>
      </c>
    </row>
    <row r="2879" spans="1:8" x14ac:dyDescent="0.25">
      <c r="A2879" s="1" t="str">
        <f>"07832"</f>
        <v>07832</v>
      </c>
      <c r="B2879" s="1" t="str">
        <f>"35084"</f>
        <v>35084</v>
      </c>
      <c r="C2879" s="1" t="str">
        <f>"COLUMBIA"</f>
        <v>COLUMBIA</v>
      </c>
      <c r="D2879" s="1" t="str">
        <f>"NJ"</f>
        <v>NJ</v>
      </c>
      <c r="E2879" s="2">
        <v>1</v>
      </c>
      <c r="F2879" s="2">
        <v>1</v>
      </c>
      <c r="G2879" s="2">
        <v>1</v>
      </c>
      <c r="H2879" s="2">
        <v>1</v>
      </c>
    </row>
    <row r="2880" spans="1:8" x14ac:dyDescent="0.25">
      <c r="A2880" s="1" t="str">
        <f>"21916"</f>
        <v>21916</v>
      </c>
      <c r="B2880" s="1" t="str">
        <f>"48864"</f>
        <v>48864</v>
      </c>
      <c r="C2880" s="1" t="str">
        <f>"CHILDS"</f>
        <v>CHILDS</v>
      </c>
      <c r="D2880" s="1" t="str">
        <f>"MD"</f>
        <v>MD</v>
      </c>
      <c r="E2880" s="2">
        <v>0</v>
      </c>
      <c r="F2880" s="2">
        <v>1</v>
      </c>
      <c r="G2880" s="2">
        <v>0</v>
      </c>
      <c r="H2880" s="2">
        <v>1</v>
      </c>
    </row>
    <row r="2881" spans="1:8" x14ac:dyDescent="0.25">
      <c r="A2881" s="1" t="str">
        <f>"18971"</f>
        <v>18971</v>
      </c>
      <c r="B2881" s="1" t="str">
        <f>"33874"</f>
        <v>33874</v>
      </c>
      <c r="C2881" s="1" t="str">
        <f>"TYLERSPORT"</f>
        <v>TYLERSPORT</v>
      </c>
      <c r="D2881" s="1" t="str">
        <f>"PA"</f>
        <v>PA</v>
      </c>
      <c r="E2881" s="2">
        <v>0</v>
      </c>
      <c r="F2881" s="2">
        <v>0</v>
      </c>
      <c r="G2881" s="2">
        <v>1</v>
      </c>
      <c r="H2881" s="2">
        <v>1</v>
      </c>
    </row>
    <row r="2882" spans="1:8" x14ac:dyDescent="0.25">
      <c r="A2882" s="1" t="str">
        <f>"20138"</f>
        <v>20138</v>
      </c>
      <c r="B2882" s="1" t="str">
        <f t="shared" ref="B2882:B2887" si="209">"47894"</f>
        <v>47894</v>
      </c>
      <c r="C2882" s="1" t="str">
        <f>"CALVERTON"</f>
        <v>CALVERTON</v>
      </c>
      <c r="D2882" s="1" t="str">
        <f>"VA"</f>
        <v>VA</v>
      </c>
      <c r="E2882" s="2">
        <v>0</v>
      </c>
      <c r="F2882" s="2">
        <v>1</v>
      </c>
      <c r="G2882" s="2">
        <v>0</v>
      </c>
      <c r="H2882" s="2">
        <v>1</v>
      </c>
    </row>
    <row r="2883" spans="1:8" x14ac:dyDescent="0.25">
      <c r="A2883" s="1" t="str">
        <f>"20389"</f>
        <v>20389</v>
      </c>
      <c r="B2883" s="1" t="str">
        <f t="shared" si="209"/>
        <v>47894</v>
      </c>
      <c r="C2883" s="1" t="str">
        <f>"WASHINGTON"</f>
        <v>WASHINGTON</v>
      </c>
      <c r="D2883" s="1" t="str">
        <f>"DC"</f>
        <v>DC</v>
      </c>
      <c r="E2883" s="2">
        <v>0</v>
      </c>
      <c r="F2883" s="2">
        <v>1</v>
      </c>
      <c r="G2883" s="2">
        <v>0</v>
      </c>
      <c r="H2883" s="2">
        <v>1</v>
      </c>
    </row>
    <row r="2884" spans="1:8" x14ac:dyDescent="0.25">
      <c r="A2884" s="1" t="str">
        <f>"20388"</f>
        <v>20388</v>
      </c>
      <c r="B2884" s="1" t="str">
        <f t="shared" si="209"/>
        <v>47894</v>
      </c>
      <c r="C2884" s="1" t="str">
        <f>"WASHINGTON NAVY YARD"</f>
        <v>WASHINGTON NAVY YARD</v>
      </c>
      <c r="D2884" s="1" t="str">
        <f>"DC"</f>
        <v>DC</v>
      </c>
      <c r="E2884" s="2">
        <v>0</v>
      </c>
      <c r="F2884" s="2">
        <v>0</v>
      </c>
      <c r="G2884" s="2">
        <v>1</v>
      </c>
      <c r="H2884" s="2">
        <v>1</v>
      </c>
    </row>
    <row r="2885" spans="1:8" x14ac:dyDescent="0.25">
      <c r="A2885" s="1" t="str">
        <f>"20391"</f>
        <v>20391</v>
      </c>
      <c r="B2885" s="1" t="str">
        <f t="shared" si="209"/>
        <v>47894</v>
      </c>
      <c r="C2885" s="1" t="str">
        <f>"WASHINGTON NAVY YARD"</f>
        <v>WASHINGTON NAVY YARD</v>
      </c>
      <c r="D2885" s="1" t="str">
        <f>"DC"</f>
        <v>DC</v>
      </c>
      <c r="E2885" s="2">
        <v>0</v>
      </c>
      <c r="F2885" s="2">
        <v>1</v>
      </c>
      <c r="G2885" s="2">
        <v>1</v>
      </c>
      <c r="H2885" s="2">
        <v>1</v>
      </c>
    </row>
    <row r="2886" spans="1:8" x14ac:dyDescent="0.25">
      <c r="A2886" s="1" t="str">
        <f>"22107"</f>
        <v>22107</v>
      </c>
      <c r="B2886" s="1" t="str">
        <f t="shared" si="209"/>
        <v>47894</v>
      </c>
      <c r="C2886" s="1" t="str">
        <f>"MC LEAN"</f>
        <v>MC LEAN</v>
      </c>
      <c r="D2886" s="1" t="str">
        <f>"VA"</f>
        <v>VA</v>
      </c>
      <c r="E2886" s="2">
        <v>0</v>
      </c>
      <c r="F2886" s="2">
        <v>1</v>
      </c>
      <c r="G2886" s="2">
        <v>0</v>
      </c>
      <c r="H2886" s="2">
        <v>1</v>
      </c>
    </row>
    <row r="2887" spans="1:8" x14ac:dyDescent="0.25">
      <c r="A2887" s="1" t="str">
        <f>"22244"</f>
        <v>22244</v>
      </c>
      <c r="B2887" s="1" t="str">
        <f t="shared" si="209"/>
        <v>47894</v>
      </c>
      <c r="C2887" s="1" t="str">
        <f>"ARLINGTON"</f>
        <v>ARLINGTON</v>
      </c>
      <c r="D2887" s="1" t="str">
        <f>"VA"</f>
        <v>VA</v>
      </c>
      <c r="E2887" s="2">
        <v>0</v>
      </c>
      <c r="F2887" s="2">
        <v>1</v>
      </c>
      <c r="G2887" s="2">
        <v>0</v>
      </c>
      <c r="H2887" s="2">
        <v>1</v>
      </c>
    </row>
    <row r="2888" spans="1:8" x14ac:dyDescent="0.25">
      <c r="A2888" s="1" t="str">
        <f>"11451"</f>
        <v>11451</v>
      </c>
      <c r="B2888" s="1" t="str">
        <f>"35614"</f>
        <v>35614</v>
      </c>
      <c r="C2888" s="1" t="str">
        <f>"JAMAICA"</f>
        <v>JAMAICA</v>
      </c>
      <c r="D2888" s="1" t="str">
        <f>"NY"</f>
        <v>NY</v>
      </c>
      <c r="E2888" s="2">
        <v>0</v>
      </c>
      <c r="F2888" s="2">
        <v>1</v>
      </c>
      <c r="G2888" s="2">
        <v>0</v>
      </c>
      <c r="H2888" s="2">
        <v>1</v>
      </c>
    </row>
    <row r="2889" spans="1:8" x14ac:dyDescent="0.25">
      <c r="A2889" s="1" t="str">
        <f>"01970"</f>
        <v>01970</v>
      </c>
      <c r="B2889" s="1" t="str">
        <f>"15764"</f>
        <v>15764</v>
      </c>
      <c r="C2889" s="1" t="str">
        <f>"SALEM"</f>
        <v>SALEM</v>
      </c>
      <c r="D2889" s="1" t="str">
        <f>"MA"</f>
        <v>MA</v>
      </c>
      <c r="E2889" s="2">
        <v>1</v>
      </c>
      <c r="F2889" s="2">
        <v>1</v>
      </c>
      <c r="G2889" s="2">
        <v>1</v>
      </c>
      <c r="H2889" s="2">
        <v>1</v>
      </c>
    </row>
    <row r="2890" spans="1:8" x14ac:dyDescent="0.25">
      <c r="A2890" s="1" t="str">
        <f>"02067"</f>
        <v>02067</v>
      </c>
      <c r="B2890" s="1" t="str">
        <f>"14454"</f>
        <v>14454</v>
      </c>
      <c r="C2890" s="1" t="str">
        <f>"SHARON"</f>
        <v>SHARON</v>
      </c>
      <c r="D2890" s="1" t="str">
        <f>"MA"</f>
        <v>MA</v>
      </c>
      <c r="E2890" s="2">
        <v>1</v>
      </c>
      <c r="F2890" s="2">
        <v>1</v>
      </c>
      <c r="G2890" s="2">
        <v>1</v>
      </c>
      <c r="H2890" s="2">
        <v>1</v>
      </c>
    </row>
    <row r="2891" spans="1:8" x14ac:dyDescent="0.25">
      <c r="A2891" s="1" t="str">
        <f>"02171"</f>
        <v>02171</v>
      </c>
      <c r="B2891" s="1" t="str">
        <f>"14454"</f>
        <v>14454</v>
      </c>
      <c r="C2891" s="1" t="str">
        <f>"QUINCY"</f>
        <v>QUINCY</v>
      </c>
      <c r="D2891" s="1" t="str">
        <f>"MA"</f>
        <v>MA</v>
      </c>
      <c r="E2891" s="2">
        <v>1</v>
      </c>
      <c r="F2891" s="2">
        <v>1</v>
      </c>
      <c r="G2891" s="2">
        <v>1</v>
      </c>
      <c r="H2891" s="2">
        <v>1</v>
      </c>
    </row>
    <row r="2892" spans="1:8" x14ac:dyDescent="0.25">
      <c r="A2892" s="1" t="str">
        <f>"02190"</f>
        <v>02190</v>
      </c>
      <c r="B2892" s="1" t="str">
        <f>"14454"</f>
        <v>14454</v>
      </c>
      <c r="C2892" s="1" t="str">
        <f>"SOUTH WEYMOUTH"</f>
        <v>SOUTH WEYMOUTH</v>
      </c>
      <c r="D2892" s="1" t="str">
        <f>"MA"</f>
        <v>MA</v>
      </c>
      <c r="E2892" s="2">
        <v>1</v>
      </c>
      <c r="F2892" s="2">
        <v>1</v>
      </c>
      <c r="G2892" s="2">
        <v>1</v>
      </c>
      <c r="H2892" s="2">
        <v>1</v>
      </c>
    </row>
    <row r="2893" spans="1:8" x14ac:dyDescent="0.25">
      <c r="A2893" s="1" t="str">
        <f>"02532"</f>
        <v>02532</v>
      </c>
      <c r="B2893" s="1" t="str">
        <f>"14454"</f>
        <v>14454</v>
      </c>
      <c r="C2893" s="1" t="str">
        <f>"BUZZARDS BAY"</f>
        <v>BUZZARDS BAY</v>
      </c>
      <c r="D2893" s="1" t="str">
        <f>"MA"</f>
        <v>MA</v>
      </c>
      <c r="E2893" s="2">
        <v>1</v>
      </c>
      <c r="F2893" s="2">
        <v>1</v>
      </c>
      <c r="G2893" s="2">
        <v>1</v>
      </c>
      <c r="H2893" s="2">
        <v>1</v>
      </c>
    </row>
    <row r="2894" spans="1:8" x14ac:dyDescent="0.25">
      <c r="A2894" s="1" t="str">
        <f>"03820"</f>
        <v>03820</v>
      </c>
      <c r="B2894" s="1" t="str">
        <f>"40484"</f>
        <v>40484</v>
      </c>
      <c r="C2894" s="1" t="str">
        <f>"DOVER"</f>
        <v>DOVER</v>
      </c>
      <c r="D2894" s="1" t="str">
        <f>"NH"</f>
        <v>NH</v>
      </c>
      <c r="E2894" s="2">
        <v>1</v>
      </c>
      <c r="F2894" s="2">
        <v>1</v>
      </c>
      <c r="G2894" s="2">
        <v>1</v>
      </c>
      <c r="H2894" s="2">
        <v>1</v>
      </c>
    </row>
    <row r="2895" spans="1:8" x14ac:dyDescent="0.25">
      <c r="A2895" s="1" t="str">
        <f>"03868"</f>
        <v>03868</v>
      </c>
      <c r="B2895" s="1" t="str">
        <f>"40484"</f>
        <v>40484</v>
      </c>
      <c r="C2895" s="1" t="str">
        <f>"ROCHESTER"</f>
        <v>ROCHESTER</v>
      </c>
      <c r="D2895" s="1" t="str">
        <f>"NH"</f>
        <v>NH</v>
      </c>
      <c r="E2895" s="2">
        <v>1</v>
      </c>
      <c r="F2895" s="2">
        <v>1</v>
      </c>
      <c r="G2895" s="2">
        <v>1</v>
      </c>
      <c r="H2895" s="2">
        <v>1</v>
      </c>
    </row>
    <row r="2896" spans="1:8" x14ac:dyDescent="0.25">
      <c r="A2896" s="1" t="str">
        <f>"03873"</f>
        <v>03873</v>
      </c>
      <c r="B2896" s="1" t="str">
        <f>"40484"</f>
        <v>40484</v>
      </c>
      <c r="C2896" s="1" t="str">
        <f>"SANDOWN"</f>
        <v>SANDOWN</v>
      </c>
      <c r="D2896" s="1" t="str">
        <f>"NH"</f>
        <v>NH</v>
      </c>
      <c r="E2896" s="2">
        <v>1</v>
      </c>
      <c r="F2896" s="2">
        <v>1</v>
      </c>
      <c r="G2896" s="2">
        <v>1</v>
      </c>
      <c r="H2896" s="2">
        <v>1</v>
      </c>
    </row>
    <row r="2897" spans="1:8" x14ac:dyDescent="0.25">
      <c r="A2897" s="1" t="str">
        <f>"07022"</f>
        <v>07022</v>
      </c>
      <c r="B2897" s="1" t="str">
        <f>"35614"</f>
        <v>35614</v>
      </c>
      <c r="C2897" s="1" t="str">
        <f>"FAIRVIEW"</f>
        <v>FAIRVIEW</v>
      </c>
      <c r="D2897" s="1" t="str">
        <f t="shared" ref="D2897:D2907" si="210">"NJ"</f>
        <v>NJ</v>
      </c>
      <c r="E2897" s="2">
        <v>1</v>
      </c>
      <c r="F2897" s="2">
        <v>1</v>
      </c>
      <c r="G2897" s="2">
        <v>1</v>
      </c>
      <c r="H2897" s="2">
        <v>1</v>
      </c>
    </row>
    <row r="2898" spans="1:8" x14ac:dyDescent="0.25">
      <c r="A2898" s="1" t="str">
        <f>"07073"</f>
        <v>07073</v>
      </c>
      <c r="B2898" s="1" t="str">
        <f>"35614"</f>
        <v>35614</v>
      </c>
      <c r="C2898" s="1" t="str">
        <f>"EAST RUTHERFORD"</f>
        <v>EAST RUTHERFORD</v>
      </c>
      <c r="D2898" s="1" t="str">
        <f t="shared" si="210"/>
        <v>NJ</v>
      </c>
      <c r="E2898" s="2">
        <v>1</v>
      </c>
      <c r="F2898" s="2">
        <v>1</v>
      </c>
      <c r="G2898" s="2">
        <v>1</v>
      </c>
      <c r="H2898" s="2">
        <v>1</v>
      </c>
    </row>
    <row r="2899" spans="1:8" x14ac:dyDescent="0.25">
      <c r="A2899" s="1" t="str">
        <f>"07739"</f>
        <v>07739</v>
      </c>
      <c r="B2899" s="1" t="str">
        <f>"35154"</f>
        <v>35154</v>
      </c>
      <c r="C2899" s="1" t="str">
        <f>"LITTLE SILVER"</f>
        <v>LITTLE SILVER</v>
      </c>
      <c r="D2899" s="1" t="str">
        <f t="shared" si="210"/>
        <v>NJ</v>
      </c>
      <c r="E2899" s="2">
        <v>1</v>
      </c>
      <c r="F2899" s="2">
        <v>1</v>
      </c>
      <c r="G2899" s="2">
        <v>1</v>
      </c>
      <c r="H2899" s="2">
        <v>1</v>
      </c>
    </row>
    <row r="2900" spans="1:8" x14ac:dyDescent="0.25">
      <c r="A2900" s="1" t="str">
        <f>"08014"</f>
        <v>08014</v>
      </c>
      <c r="B2900" s="1" t="str">
        <f>"15804"</f>
        <v>15804</v>
      </c>
      <c r="C2900" s="1" t="str">
        <f>"BRIDGEPORT"</f>
        <v>BRIDGEPORT</v>
      </c>
      <c r="D2900" s="1" t="str">
        <f t="shared" si="210"/>
        <v>NJ</v>
      </c>
      <c r="E2900" s="2">
        <v>1</v>
      </c>
      <c r="F2900" s="2">
        <v>1</v>
      </c>
      <c r="G2900" s="2">
        <v>1</v>
      </c>
      <c r="H2900" s="2">
        <v>1</v>
      </c>
    </row>
    <row r="2901" spans="1:8" x14ac:dyDescent="0.25">
      <c r="A2901" s="1" t="str">
        <f>"08033"</f>
        <v>08033</v>
      </c>
      <c r="B2901" s="1" t="str">
        <f>"15804"</f>
        <v>15804</v>
      </c>
      <c r="C2901" s="1" t="str">
        <f>"HADDONFIELD"</f>
        <v>HADDONFIELD</v>
      </c>
      <c r="D2901" s="1" t="str">
        <f t="shared" si="210"/>
        <v>NJ</v>
      </c>
      <c r="E2901" s="2">
        <v>1</v>
      </c>
      <c r="F2901" s="2">
        <v>1</v>
      </c>
      <c r="G2901" s="2">
        <v>1</v>
      </c>
      <c r="H2901" s="2">
        <v>1</v>
      </c>
    </row>
    <row r="2902" spans="1:8" x14ac:dyDescent="0.25">
      <c r="A2902" s="1" t="str">
        <f>"08070"</f>
        <v>08070</v>
      </c>
      <c r="B2902" s="1" t="str">
        <f>"48864"</f>
        <v>48864</v>
      </c>
      <c r="C2902" s="1" t="str">
        <f>"PENNSVILLE"</f>
        <v>PENNSVILLE</v>
      </c>
      <c r="D2902" s="1" t="str">
        <f t="shared" si="210"/>
        <v>NJ</v>
      </c>
      <c r="E2902" s="2">
        <v>1</v>
      </c>
      <c r="F2902" s="2">
        <v>1</v>
      </c>
      <c r="G2902" s="2">
        <v>1</v>
      </c>
      <c r="H2902" s="2">
        <v>1</v>
      </c>
    </row>
    <row r="2903" spans="1:8" x14ac:dyDescent="0.25">
      <c r="A2903" s="1" t="str">
        <f>"08077"</f>
        <v>08077</v>
      </c>
      <c r="B2903" s="1" t="str">
        <f>"15804"</f>
        <v>15804</v>
      </c>
      <c r="C2903" s="1" t="str">
        <f>"RIVERTON"</f>
        <v>RIVERTON</v>
      </c>
      <c r="D2903" s="1" t="str">
        <f t="shared" si="210"/>
        <v>NJ</v>
      </c>
      <c r="E2903" s="2">
        <v>1</v>
      </c>
      <c r="F2903" s="2">
        <v>1</v>
      </c>
      <c r="G2903" s="2">
        <v>1</v>
      </c>
      <c r="H2903" s="2">
        <v>1</v>
      </c>
    </row>
    <row r="2904" spans="1:8" x14ac:dyDescent="0.25">
      <c r="A2904" s="1" t="str">
        <f>"08079"</f>
        <v>08079</v>
      </c>
      <c r="B2904" s="1" t="str">
        <f>"48864"</f>
        <v>48864</v>
      </c>
      <c r="C2904" s="1" t="str">
        <f>"SALEM"</f>
        <v>SALEM</v>
      </c>
      <c r="D2904" s="1" t="str">
        <f t="shared" si="210"/>
        <v>NJ</v>
      </c>
      <c r="E2904" s="2">
        <v>1</v>
      </c>
      <c r="F2904" s="2">
        <v>1</v>
      </c>
      <c r="G2904" s="2">
        <v>1</v>
      </c>
      <c r="H2904" s="2">
        <v>1</v>
      </c>
    </row>
    <row r="2905" spans="1:8" x14ac:dyDescent="0.25">
      <c r="A2905" s="1" t="str">
        <f>"08734"</f>
        <v>08734</v>
      </c>
      <c r="B2905" s="1" t="str">
        <f>"35154"</f>
        <v>35154</v>
      </c>
      <c r="C2905" s="1" t="str">
        <f>"LANOKA HARBOR"</f>
        <v>LANOKA HARBOR</v>
      </c>
      <c r="D2905" s="1" t="str">
        <f t="shared" si="210"/>
        <v>NJ</v>
      </c>
      <c r="E2905" s="2">
        <v>1</v>
      </c>
      <c r="F2905" s="2">
        <v>1</v>
      </c>
      <c r="G2905" s="2">
        <v>1</v>
      </c>
      <c r="H2905" s="2">
        <v>1</v>
      </c>
    </row>
    <row r="2906" spans="1:8" x14ac:dyDescent="0.25">
      <c r="A2906" s="1" t="str">
        <f>"08733"</f>
        <v>08733</v>
      </c>
      <c r="B2906" s="1" t="str">
        <f>"35154"</f>
        <v>35154</v>
      </c>
      <c r="C2906" s="1" t="str">
        <f>"LAKEHURST"</f>
        <v>LAKEHURST</v>
      </c>
      <c r="D2906" s="1" t="str">
        <f t="shared" si="210"/>
        <v>NJ</v>
      </c>
      <c r="E2906" s="2">
        <v>1</v>
      </c>
      <c r="F2906" s="2">
        <v>1</v>
      </c>
      <c r="G2906" s="2">
        <v>1</v>
      </c>
      <c r="H2906" s="2">
        <v>1</v>
      </c>
    </row>
    <row r="2907" spans="1:8" x14ac:dyDescent="0.25">
      <c r="A2907" s="1" t="str">
        <f>"08873"</f>
        <v>08873</v>
      </c>
      <c r="B2907" s="1" t="str">
        <f>"35154"</f>
        <v>35154</v>
      </c>
      <c r="C2907" s="1" t="str">
        <f>"SOMERSET"</f>
        <v>SOMERSET</v>
      </c>
      <c r="D2907" s="1" t="str">
        <f t="shared" si="210"/>
        <v>NJ</v>
      </c>
      <c r="E2907" s="2">
        <v>1</v>
      </c>
      <c r="F2907" s="2">
        <v>1</v>
      </c>
      <c r="G2907" s="2">
        <v>1</v>
      </c>
      <c r="H2907" s="2">
        <v>1</v>
      </c>
    </row>
    <row r="2908" spans="1:8" x14ac:dyDescent="0.25">
      <c r="A2908" s="1" t="str">
        <f>"11228"</f>
        <v>11228</v>
      </c>
      <c r="B2908" s="1" t="str">
        <f>"35614"</f>
        <v>35614</v>
      </c>
      <c r="C2908" s="1" t="str">
        <f>"BROOKLYN"</f>
        <v>BROOKLYN</v>
      </c>
      <c r="D2908" s="1" t="str">
        <f t="shared" ref="D2908:D2921" si="211">"NY"</f>
        <v>NY</v>
      </c>
      <c r="E2908" s="2">
        <v>1</v>
      </c>
      <c r="F2908" s="2">
        <v>1</v>
      </c>
      <c r="G2908" s="2">
        <v>1</v>
      </c>
      <c r="H2908" s="2">
        <v>1</v>
      </c>
    </row>
    <row r="2909" spans="1:8" x14ac:dyDescent="0.25">
      <c r="A2909" s="1" t="str">
        <f>"11434"</f>
        <v>11434</v>
      </c>
      <c r="B2909" s="1" t="str">
        <f>"35614"</f>
        <v>35614</v>
      </c>
      <c r="C2909" s="1" t="str">
        <f>"JAMAICA"</f>
        <v>JAMAICA</v>
      </c>
      <c r="D2909" s="1" t="str">
        <f t="shared" si="211"/>
        <v>NY</v>
      </c>
      <c r="E2909" s="2">
        <v>1</v>
      </c>
      <c r="F2909" s="2">
        <v>1</v>
      </c>
      <c r="G2909" s="2">
        <v>1</v>
      </c>
      <c r="H2909" s="2">
        <v>1</v>
      </c>
    </row>
    <row r="2910" spans="1:8" x14ac:dyDescent="0.25">
      <c r="A2910" s="1" t="str">
        <f>"11542"</f>
        <v>11542</v>
      </c>
      <c r="B2910" s="1" t="str">
        <f>"35004"</f>
        <v>35004</v>
      </c>
      <c r="C2910" s="1" t="str">
        <f>"GLEN COVE"</f>
        <v>GLEN COVE</v>
      </c>
      <c r="D2910" s="1" t="str">
        <f t="shared" si="211"/>
        <v>NY</v>
      </c>
      <c r="E2910" s="2">
        <v>1</v>
      </c>
      <c r="F2910" s="2">
        <v>1</v>
      </c>
      <c r="G2910" s="2">
        <v>1</v>
      </c>
      <c r="H2910" s="2">
        <v>1</v>
      </c>
    </row>
    <row r="2911" spans="1:8" x14ac:dyDescent="0.25">
      <c r="A2911" s="1" t="str">
        <f>"11694"</f>
        <v>11694</v>
      </c>
      <c r="B2911" s="1" t="str">
        <f>"35614"</f>
        <v>35614</v>
      </c>
      <c r="C2911" s="1" t="str">
        <f>"ROCKAWAY PARK"</f>
        <v>ROCKAWAY PARK</v>
      </c>
      <c r="D2911" s="1" t="str">
        <f t="shared" si="211"/>
        <v>NY</v>
      </c>
      <c r="E2911" s="2">
        <v>1</v>
      </c>
      <c r="F2911" s="2">
        <v>1</v>
      </c>
      <c r="G2911" s="2">
        <v>1</v>
      </c>
      <c r="H2911" s="2">
        <v>1</v>
      </c>
    </row>
    <row r="2912" spans="1:8" x14ac:dyDescent="0.25">
      <c r="A2912" s="1" t="str">
        <f>"11743"</f>
        <v>11743</v>
      </c>
      <c r="B2912" s="1" t="str">
        <f t="shared" ref="B2912:B2917" si="212">"35004"</f>
        <v>35004</v>
      </c>
      <c r="C2912" s="1" t="str">
        <f>"HUNTINGTON"</f>
        <v>HUNTINGTON</v>
      </c>
      <c r="D2912" s="1" t="str">
        <f t="shared" si="211"/>
        <v>NY</v>
      </c>
      <c r="E2912" s="2">
        <v>1</v>
      </c>
      <c r="F2912" s="2">
        <v>1</v>
      </c>
      <c r="G2912" s="2">
        <v>1</v>
      </c>
      <c r="H2912" s="2">
        <v>1</v>
      </c>
    </row>
    <row r="2913" spans="1:8" x14ac:dyDescent="0.25">
      <c r="A2913" s="1" t="str">
        <f>"11742"</f>
        <v>11742</v>
      </c>
      <c r="B2913" s="1" t="str">
        <f t="shared" si="212"/>
        <v>35004</v>
      </c>
      <c r="C2913" s="1" t="str">
        <f>"HOLTSVILLE"</f>
        <v>HOLTSVILLE</v>
      </c>
      <c r="D2913" s="1" t="str">
        <f t="shared" si="211"/>
        <v>NY</v>
      </c>
      <c r="E2913" s="2">
        <v>1</v>
      </c>
      <c r="F2913" s="2">
        <v>1</v>
      </c>
      <c r="G2913" s="2">
        <v>1</v>
      </c>
      <c r="H2913" s="2">
        <v>1</v>
      </c>
    </row>
    <row r="2914" spans="1:8" x14ac:dyDescent="0.25">
      <c r="A2914" s="1" t="str">
        <f>"11752"</f>
        <v>11752</v>
      </c>
      <c r="B2914" s="1" t="str">
        <f t="shared" si="212"/>
        <v>35004</v>
      </c>
      <c r="C2914" s="1" t="str">
        <f>"ISLIP TERRACE"</f>
        <v>ISLIP TERRACE</v>
      </c>
      <c r="D2914" s="1" t="str">
        <f t="shared" si="211"/>
        <v>NY</v>
      </c>
      <c r="E2914" s="2">
        <v>1</v>
      </c>
      <c r="F2914" s="2">
        <v>1</v>
      </c>
      <c r="G2914" s="2">
        <v>1</v>
      </c>
      <c r="H2914" s="2">
        <v>1</v>
      </c>
    </row>
    <row r="2915" spans="1:8" x14ac:dyDescent="0.25">
      <c r="A2915" s="1" t="str">
        <f>"11763"</f>
        <v>11763</v>
      </c>
      <c r="B2915" s="1" t="str">
        <f t="shared" si="212"/>
        <v>35004</v>
      </c>
      <c r="C2915" s="1" t="str">
        <f>"MEDFORD"</f>
        <v>MEDFORD</v>
      </c>
      <c r="D2915" s="1" t="str">
        <f t="shared" si="211"/>
        <v>NY</v>
      </c>
      <c r="E2915" s="2">
        <v>1</v>
      </c>
      <c r="F2915" s="2">
        <v>1</v>
      </c>
      <c r="G2915" s="2">
        <v>1</v>
      </c>
      <c r="H2915" s="2">
        <v>1</v>
      </c>
    </row>
    <row r="2916" spans="1:8" x14ac:dyDescent="0.25">
      <c r="A2916" s="1" t="str">
        <f>"11932"</f>
        <v>11932</v>
      </c>
      <c r="B2916" s="1" t="str">
        <f t="shared" si="212"/>
        <v>35004</v>
      </c>
      <c r="C2916" s="1" t="str">
        <f>"BRIDGEHAMPTON"</f>
        <v>BRIDGEHAMPTON</v>
      </c>
      <c r="D2916" s="1" t="str">
        <f t="shared" si="211"/>
        <v>NY</v>
      </c>
      <c r="E2916" s="2">
        <v>1</v>
      </c>
      <c r="F2916" s="2">
        <v>1</v>
      </c>
      <c r="G2916" s="2">
        <v>1</v>
      </c>
      <c r="H2916" s="2">
        <v>1</v>
      </c>
    </row>
    <row r="2917" spans="1:8" x14ac:dyDescent="0.25">
      <c r="A2917" s="1" t="str">
        <f>"11804"</f>
        <v>11804</v>
      </c>
      <c r="B2917" s="1" t="str">
        <f t="shared" si="212"/>
        <v>35004</v>
      </c>
      <c r="C2917" s="1" t="str">
        <f>"OLD BETHPAGE"</f>
        <v>OLD BETHPAGE</v>
      </c>
      <c r="D2917" s="1" t="str">
        <f t="shared" si="211"/>
        <v>NY</v>
      </c>
      <c r="E2917" s="2">
        <v>1</v>
      </c>
      <c r="F2917" s="2">
        <v>1</v>
      </c>
      <c r="G2917" s="2">
        <v>1</v>
      </c>
      <c r="H2917" s="2">
        <v>1</v>
      </c>
    </row>
    <row r="2918" spans="1:8" x14ac:dyDescent="0.25">
      <c r="A2918" s="1" t="str">
        <f>"10522"</f>
        <v>10522</v>
      </c>
      <c r="B2918" s="1" t="str">
        <f>"35614"</f>
        <v>35614</v>
      </c>
      <c r="C2918" s="1" t="str">
        <f>"DOBBS FERRY"</f>
        <v>DOBBS FERRY</v>
      </c>
      <c r="D2918" s="1" t="str">
        <f t="shared" si="211"/>
        <v>NY</v>
      </c>
      <c r="E2918" s="2">
        <v>1</v>
      </c>
      <c r="F2918" s="2">
        <v>1</v>
      </c>
      <c r="G2918" s="2">
        <v>1</v>
      </c>
      <c r="H2918" s="2">
        <v>1</v>
      </c>
    </row>
    <row r="2919" spans="1:8" x14ac:dyDescent="0.25">
      <c r="A2919" s="1" t="str">
        <f>"10512"</f>
        <v>10512</v>
      </c>
      <c r="B2919" s="1" t="str">
        <f>"35614"</f>
        <v>35614</v>
      </c>
      <c r="C2919" s="1" t="str">
        <f>"CARMEL"</f>
        <v>CARMEL</v>
      </c>
      <c r="D2919" s="1" t="str">
        <f t="shared" si="211"/>
        <v>NY</v>
      </c>
      <c r="E2919" s="2">
        <v>1</v>
      </c>
      <c r="F2919" s="2">
        <v>1</v>
      </c>
      <c r="G2919" s="2">
        <v>1</v>
      </c>
      <c r="H2919" s="2">
        <v>1</v>
      </c>
    </row>
    <row r="2920" spans="1:8" x14ac:dyDescent="0.25">
      <c r="A2920" s="1" t="str">
        <f>"10520"</f>
        <v>10520</v>
      </c>
      <c r="B2920" s="1" t="str">
        <f>"35614"</f>
        <v>35614</v>
      </c>
      <c r="C2920" s="1" t="str">
        <f>"CROTON ON HUDSON"</f>
        <v>CROTON ON HUDSON</v>
      </c>
      <c r="D2920" s="1" t="str">
        <f t="shared" si="211"/>
        <v>NY</v>
      </c>
      <c r="E2920" s="2">
        <v>1</v>
      </c>
      <c r="F2920" s="2">
        <v>1</v>
      </c>
      <c r="G2920" s="2">
        <v>1</v>
      </c>
      <c r="H2920" s="2">
        <v>1</v>
      </c>
    </row>
    <row r="2921" spans="1:8" x14ac:dyDescent="0.25">
      <c r="A2921" s="1" t="str">
        <f>"10703"</f>
        <v>10703</v>
      </c>
      <c r="B2921" s="1" t="str">
        <f>"35614"</f>
        <v>35614</v>
      </c>
      <c r="C2921" s="1" t="str">
        <f>"YONKERS"</f>
        <v>YONKERS</v>
      </c>
      <c r="D2921" s="1" t="str">
        <f t="shared" si="211"/>
        <v>NY</v>
      </c>
      <c r="E2921" s="2">
        <v>1</v>
      </c>
      <c r="F2921" s="2">
        <v>1</v>
      </c>
      <c r="G2921" s="2">
        <v>1</v>
      </c>
      <c r="H2921" s="2">
        <v>1</v>
      </c>
    </row>
    <row r="2922" spans="1:8" x14ac:dyDescent="0.25">
      <c r="A2922" s="1" t="str">
        <f>"19040"</f>
        <v>19040</v>
      </c>
      <c r="B2922" s="1" t="str">
        <f>"33874"</f>
        <v>33874</v>
      </c>
      <c r="C2922" s="1" t="str">
        <f>"HATBORO"</f>
        <v>HATBORO</v>
      </c>
      <c r="D2922" s="1" t="str">
        <f t="shared" ref="D2922:D2927" si="213">"PA"</f>
        <v>PA</v>
      </c>
      <c r="E2922" s="2">
        <v>1</v>
      </c>
      <c r="F2922" s="2">
        <v>1</v>
      </c>
      <c r="G2922" s="2">
        <v>1</v>
      </c>
      <c r="H2922" s="2">
        <v>1</v>
      </c>
    </row>
    <row r="2923" spans="1:8" x14ac:dyDescent="0.25">
      <c r="A2923" s="1" t="str">
        <f>"19010"</f>
        <v>19010</v>
      </c>
      <c r="B2923" s="1" t="str">
        <f>"37964"</f>
        <v>37964</v>
      </c>
      <c r="C2923" s="1" t="str">
        <f>"BRYN MAWR"</f>
        <v>BRYN MAWR</v>
      </c>
      <c r="D2923" s="1" t="str">
        <f t="shared" si="213"/>
        <v>PA</v>
      </c>
      <c r="E2923" s="2">
        <v>0.58398692810457498</v>
      </c>
      <c r="F2923" s="2">
        <v>0.33955857385398902</v>
      </c>
      <c r="G2923" s="2">
        <v>0.35162601626016199</v>
      </c>
      <c r="H2923" s="2">
        <v>0.54691244239631298</v>
      </c>
    </row>
    <row r="2924" spans="1:8" x14ac:dyDescent="0.25">
      <c r="A2924" s="1" t="str">
        <f>"19010"</f>
        <v>19010</v>
      </c>
      <c r="B2924" s="1" t="str">
        <f>"33874"</f>
        <v>33874</v>
      </c>
      <c r="C2924" s="1" t="str">
        <f>"BRYN MAWR"</f>
        <v>BRYN MAWR</v>
      </c>
      <c r="D2924" s="1" t="str">
        <f t="shared" si="213"/>
        <v>PA</v>
      </c>
      <c r="E2924" s="2">
        <v>0.41601307189542402</v>
      </c>
      <c r="F2924" s="2">
        <v>0.66044142614600998</v>
      </c>
      <c r="G2924" s="2">
        <v>0.64837398373983701</v>
      </c>
      <c r="H2924" s="2">
        <v>0.45308755760368602</v>
      </c>
    </row>
    <row r="2925" spans="1:8" x14ac:dyDescent="0.25">
      <c r="A2925" s="1" t="str">
        <f>"19152"</f>
        <v>19152</v>
      </c>
      <c r="B2925" s="1" t="str">
        <f>"37964"</f>
        <v>37964</v>
      </c>
      <c r="C2925" s="1" t="str">
        <f>"PHILADELPHIA"</f>
        <v>PHILADELPHIA</v>
      </c>
      <c r="D2925" s="1" t="str">
        <f t="shared" si="213"/>
        <v>PA</v>
      </c>
      <c r="E2925" s="2">
        <v>1</v>
      </c>
      <c r="F2925" s="2">
        <v>1</v>
      </c>
      <c r="G2925" s="2">
        <v>1</v>
      </c>
      <c r="H2925" s="2">
        <v>1</v>
      </c>
    </row>
    <row r="2926" spans="1:8" x14ac:dyDescent="0.25">
      <c r="A2926" s="1" t="str">
        <f>"19425"</f>
        <v>19425</v>
      </c>
      <c r="B2926" s="1" t="str">
        <f>"33874"</f>
        <v>33874</v>
      </c>
      <c r="C2926" s="1" t="str">
        <f>"CHESTER SPRINGS"</f>
        <v>CHESTER SPRINGS</v>
      </c>
      <c r="D2926" s="1" t="str">
        <f t="shared" si="213"/>
        <v>PA</v>
      </c>
      <c r="E2926" s="2">
        <v>1</v>
      </c>
      <c r="F2926" s="2">
        <v>1</v>
      </c>
      <c r="G2926" s="2">
        <v>1</v>
      </c>
      <c r="H2926" s="2">
        <v>1</v>
      </c>
    </row>
    <row r="2927" spans="1:8" x14ac:dyDescent="0.25">
      <c r="A2927" s="1" t="str">
        <f>"19344"</f>
        <v>19344</v>
      </c>
      <c r="B2927" s="1" t="str">
        <f>"33874"</f>
        <v>33874</v>
      </c>
      <c r="C2927" s="1" t="str">
        <f>"HONEY BROOK"</f>
        <v>HONEY BROOK</v>
      </c>
      <c r="D2927" s="1" t="str">
        <f t="shared" si="213"/>
        <v>PA</v>
      </c>
      <c r="E2927" s="2">
        <v>1</v>
      </c>
      <c r="F2927" s="2">
        <v>1</v>
      </c>
      <c r="G2927" s="2">
        <v>1</v>
      </c>
      <c r="H2927" s="2">
        <v>1</v>
      </c>
    </row>
    <row r="2928" spans="1:8" x14ac:dyDescent="0.25">
      <c r="A2928" s="1" t="str">
        <f>"20540"</f>
        <v>20540</v>
      </c>
      <c r="B2928" s="1" t="str">
        <f>"47894"</f>
        <v>47894</v>
      </c>
      <c r="C2928" s="1" t="str">
        <f>"WASHINGTON"</f>
        <v>WASHINGTON</v>
      </c>
      <c r="D2928" s="1" t="str">
        <f>"DC"</f>
        <v>DC</v>
      </c>
      <c r="E2928" s="2">
        <v>0</v>
      </c>
      <c r="F2928" s="2">
        <v>1</v>
      </c>
      <c r="G2928" s="2">
        <v>1</v>
      </c>
      <c r="H2928" s="2">
        <v>1</v>
      </c>
    </row>
    <row r="2929" spans="1:8" x14ac:dyDescent="0.25">
      <c r="A2929" s="1" t="str">
        <f>"20712"</f>
        <v>20712</v>
      </c>
      <c r="B2929" s="1" t="str">
        <f>"47894"</f>
        <v>47894</v>
      </c>
      <c r="C2929" s="1" t="str">
        <f>"MOUNT RAINIER"</f>
        <v>MOUNT RAINIER</v>
      </c>
      <c r="D2929" s="1" t="str">
        <f>"MD"</f>
        <v>MD</v>
      </c>
      <c r="E2929" s="2">
        <v>1</v>
      </c>
      <c r="F2929" s="2">
        <v>1</v>
      </c>
      <c r="G2929" s="2">
        <v>1</v>
      </c>
      <c r="H2929" s="2">
        <v>1</v>
      </c>
    </row>
    <row r="2930" spans="1:8" x14ac:dyDescent="0.25">
      <c r="A2930" s="1" t="str">
        <f>"20740"</f>
        <v>20740</v>
      </c>
      <c r="B2930" s="1" t="str">
        <f>"47894"</f>
        <v>47894</v>
      </c>
      <c r="C2930" s="1" t="str">
        <f>"COLLEGE PARK"</f>
        <v>COLLEGE PARK</v>
      </c>
      <c r="D2930" s="1" t="str">
        <f>"MD"</f>
        <v>MD</v>
      </c>
      <c r="E2930" s="2">
        <v>1</v>
      </c>
      <c r="F2930" s="2">
        <v>1</v>
      </c>
      <c r="G2930" s="2">
        <v>1</v>
      </c>
      <c r="H2930" s="2">
        <v>1</v>
      </c>
    </row>
    <row r="2931" spans="1:8" x14ac:dyDescent="0.25">
      <c r="A2931" s="1" t="str">
        <f>"21757"</f>
        <v>21757</v>
      </c>
      <c r="B2931" s="1" t="str">
        <f>"23224"</f>
        <v>23224</v>
      </c>
      <c r="C2931" s="1" t="str">
        <f>"KEYMAR"</f>
        <v>KEYMAR</v>
      </c>
      <c r="D2931" s="1" t="str">
        <f>"MD"</f>
        <v>MD</v>
      </c>
      <c r="E2931" s="2">
        <v>1</v>
      </c>
      <c r="F2931" s="2">
        <v>1</v>
      </c>
      <c r="G2931" s="2">
        <v>1</v>
      </c>
      <c r="H2931" s="2">
        <v>1</v>
      </c>
    </row>
    <row r="2932" spans="1:8" x14ac:dyDescent="0.25">
      <c r="A2932" s="1" t="str">
        <f>"20147"</f>
        <v>20147</v>
      </c>
      <c r="B2932" s="1" t="str">
        <f>"47894"</f>
        <v>47894</v>
      </c>
      <c r="C2932" s="1" t="str">
        <f>"ASHBURN"</f>
        <v>ASHBURN</v>
      </c>
      <c r="D2932" s="1" t="str">
        <f>"VA"</f>
        <v>VA</v>
      </c>
      <c r="E2932" s="2">
        <v>1</v>
      </c>
      <c r="F2932" s="2">
        <v>1</v>
      </c>
      <c r="G2932" s="2">
        <v>1</v>
      </c>
      <c r="H2932" s="2">
        <v>1</v>
      </c>
    </row>
    <row r="2933" spans="1:8" x14ac:dyDescent="0.25">
      <c r="A2933" s="1" t="str">
        <f>"22180"</f>
        <v>22180</v>
      </c>
      <c r="B2933" s="1" t="str">
        <f>"47894"</f>
        <v>47894</v>
      </c>
      <c r="C2933" s="1" t="str">
        <f>"VIENNA"</f>
        <v>VIENNA</v>
      </c>
      <c r="D2933" s="1" t="str">
        <f>"VA"</f>
        <v>VA</v>
      </c>
      <c r="E2933" s="2">
        <v>1</v>
      </c>
      <c r="F2933" s="2">
        <v>1</v>
      </c>
      <c r="G2933" s="2">
        <v>1</v>
      </c>
      <c r="H2933" s="2">
        <v>1</v>
      </c>
    </row>
    <row r="2934" spans="1:8" x14ac:dyDescent="0.25">
      <c r="A2934" s="1" t="str">
        <f>"22734"</f>
        <v>22734</v>
      </c>
      <c r="B2934" s="1" t="str">
        <f>"47894"</f>
        <v>47894</v>
      </c>
      <c r="C2934" s="1" t="str">
        <f>"REMINGTON"</f>
        <v>REMINGTON</v>
      </c>
      <c r="D2934" s="1" t="str">
        <f>"VA"</f>
        <v>VA</v>
      </c>
      <c r="E2934" s="2">
        <v>1</v>
      </c>
      <c r="F2934" s="2">
        <v>1</v>
      </c>
      <c r="G2934" s="2">
        <v>1</v>
      </c>
      <c r="H2934" s="2">
        <v>1</v>
      </c>
    </row>
    <row r="2935" spans="1:8" x14ac:dyDescent="0.25">
      <c r="A2935" s="1" t="str">
        <f>"33009"</f>
        <v>33009</v>
      </c>
      <c r="B2935" s="1" t="str">
        <f>"22744"</f>
        <v>22744</v>
      </c>
      <c r="C2935" s="1" t="str">
        <f>"HALLANDALE"</f>
        <v>HALLANDALE</v>
      </c>
      <c r="D2935" s="1" t="str">
        <f t="shared" ref="D2935:D2941" si="214">"FL"</f>
        <v>FL</v>
      </c>
      <c r="E2935" s="2">
        <v>1</v>
      </c>
      <c r="F2935" s="2">
        <v>1</v>
      </c>
      <c r="G2935" s="2">
        <v>1</v>
      </c>
      <c r="H2935" s="2">
        <v>1</v>
      </c>
    </row>
    <row r="2936" spans="1:8" x14ac:dyDescent="0.25">
      <c r="A2936" s="1" t="str">
        <f>"33139"</f>
        <v>33139</v>
      </c>
      <c r="B2936" s="1" t="str">
        <f>"33124"</f>
        <v>33124</v>
      </c>
      <c r="C2936" s="1" t="str">
        <f>"MIAMI BEACH"</f>
        <v>MIAMI BEACH</v>
      </c>
      <c r="D2936" s="1" t="str">
        <f t="shared" si="214"/>
        <v>FL</v>
      </c>
      <c r="E2936" s="2">
        <v>1</v>
      </c>
      <c r="F2936" s="2">
        <v>1</v>
      </c>
      <c r="G2936" s="2">
        <v>1</v>
      </c>
      <c r="H2936" s="2">
        <v>1</v>
      </c>
    </row>
    <row r="2937" spans="1:8" x14ac:dyDescent="0.25">
      <c r="A2937" s="1" t="str">
        <f>"33075"</f>
        <v>33075</v>
      </c>
      <c r="B2937" s="1" t="str">
        <f>"22744"</f>
        <v>22744</v>
      </c>
      <c r="C2937" s="1" t="str">
        <f>"CORAL SPRINGS"</f>
        <v>CORAL SPRINGS</v>
      </c>
      <c r="D2937" s="1" t="str">
        <f t="shared" si="214"/>
        <v>FL</v>
      </c>
      <c r="E2937" s="2">
        <v>1</v>
      </c>
      <c r="F2937" s="2">
        <v>1</v>
      </c>
      <c r="G2937" s="2">
        <v>1</v>
      </c>
      <c r="H2937" s="2">
        <v>1</v>
      </c>
    </row>
    <row r="2938" spans="1:8" x14ac:dyDescent="0.25">
      <c r="A2938" s="1" t="str">
        <f>"33431"</f>
        <v>33431</v>
      </c>
      <c r="B2938" s="1" t="str">
        <f>"48424"</f>
        <v>48424</v>
      </c>
      <c r="C2938" s="1" t="str">
        <f>"BOCA RATON"</f>
        <v>BOCA RATON</v>
      </c>
      <c r="D2938" s="1" t="str">
        <f t="shared" si="214"/>
        <v>FL</v>
      </c>
      <c r="E2938" s="2">
        <v>1</v>
      </c>
      <c r="F2938" s="2">
        <v>1</v>
      </c>
      <c r="G2938" s="2">
        <v>1</v>
      </c>
      <c r="H2938" s="2">
        <v>1</v>
      </c>
    </row>
    <row r="2939" spans="1:8" x14ac:dyDescent="0.25">
      <c r="A2939" s="1" t="str">
        <f>"33404"</f>
        <v>33404</v>
      </c>
      <c r="B2939" s="1" t="str">
        <f>"48424"</f>
        <v>48424</v>
      </c>
      <c r="C2939" s="1" t="str">
        <f>"WEST PALM BEACH"</f>
        <v>WEST PALM BEACH</v>
      </c>
      <c r="D2939" s="1" t="str">
        <f t="shared" si="214"/>
        <v>FL</v>
      </c>
      <c r="E2939" s="2">
        <v>1</v>
      </c>
      <c r="F2939" s="2">
        <v>1</v>
      </c>
      <c r="G2939" s="2">
        <v>1</v>
      </c>
      <c r="H2939" s="2">
        <v>1</v>
      </c>
    </row>
    <row r="2940" spans="1:8" x14ac:dyDescent="0.25">
      <c r="A2940" s="1" t="str">
        <f>"33305"</f>
        <v>33305</v>
      </c>
      <c r="B2940" s="1" t="str">
        <f>"22744"</f>
        <v>22744</v>
      </c>
      <c r="C2940" s="1" t="str">
        <f>"FORT LAUDERDALE"</f>
        <v>FORT LAUDERDALE</v>
      </c>
      <c r="D2940" s="1" t="str">
        <f t="shared" si="214"/>
        <v>FL</v>
      </c>
      <c r="E2940" s="2">
        <v>1</v>
      </c>
      <c r="F2940" s="2">
        <v>1</v>
      </c>
      <c r="G2940" s="2">
        <v>1</v>
      </c>
      <c r="H2940" s="2">
        <v>1</v>
      </c>
    </row>
    <row r="2941" spans="1:8" x14ac:dyDescent="0.25">
      <c r="A2941" s="1" t="str">
        <f>"33239"</f>
        <v>33239</v>
      </c>
      <c r="B2941" s="1" t="str">
        <f>"33124"</f>
        <v>33124</v>
      </c>
      <c r="C2941" s="1" t="str">
        <f>"MIAMI BEACH"</f>
        <v>MIAMI BEACH</v>
      </c>
      <c r="D2941" s="1" t="str">
        <f t="shared" si="214"/>
        <v>FL</v>
      </c>
      <c r="E2941" s="2">
        <v>1</v>
      </c>
      <c r="F2941" s="2">
        <v>1</v>
      </c>
      <c r="G2941" s="2">
        <v>1</v>
      </c>
      <c r="H2941" s="2">
        <v>1</v>
      </c>
    </row>
    <row r="2942" spans="1:8" x14ac:dyDescent="0.25">
      <c r="A2942" s="1" t="str">
        <f>"48009"</f>
        <v>48009</v>
      </c>
      <c r="B2942" s="1" t="str">
        <f>"47664"</f>
        <v>47664</v>
      </c>
      <c r="C2942" s="1" t="str">
        <f>"BIRMINGHAM"</f>
        <v>BIRMINGHAM</v>
      </c>
      <c r="D2942" s="1" t="str">
        <f>"MI"</f>
        <v>MI</v>
      </c>
      <c r="E2942" s="2">
        <v>1</v>
      </c>
      <c r="F2942" s="2">
        <v>1</v>
      </c>
      <c r="G2942" s="2">
        <v>1</v>
      </c>
      <c r="H2942" s="2">
        <v>1</v>
      </c>
    </row>
    <row r="2943" spans="1:8" x14ac:dyDescent="0.25">
      <c r="A2943" s="1" t="str">
        <f>"48047"</f>
        <v>48047</v>
      </c>
      <c r="B2943" s="1" t="str">
        <f>"47664"</f>
        <v>47664</v>
      </c>
      <c r="C2943" s="1" t="str">
        <f>"NEW BALTIMORE"</f>
        <v>NEW BALTIMORE</v>
      </c>
      <c r="D2943" s="1" t="str">
        <f>"MI"</f>
        <v>MI</v>
      </c>
      <c r="E2943" s="2">
        <v>1</v>
      </c>
      <c r="F2943" s="2">
        <v>1</v>
      </c>
      <c r="G2943" s="2">
        <v>1</v>
      </c>
      <c r="H2943" s="2">
        <v>1</v>
      </c>
    </row>
    <row r="2944" spans="1:8" x14ac:dyDescent="0.25">
      <c r="A2944" s="1" t="str">
        <f>"48065"</f>
        <v>48065</v>
      </c>
      <c r="B2944" s="1" t="str">
        <f>"47664"</f>
        <v>47664</v>
      </c>
      <c r="C2944" s="1" t="str">
        <f>"ROMEO"</f>
        <v>ROMEO</v>
      </c>
      <c r="D2944" s="1" t="str">
        <f>"MI"</f>
        <v>MI</v>
      </c>
      <c r="E2944" s="2">
        <v>1</v>
      </c>
      <c r="F2944" s="2">
        <v>1</v>
      </c>
      <c r="G2944" s="2">
        <v>1</v>
      </c>
      <c r="H2944" s="2">
        <v>1</v>
      </c>
    </row>
    <row r="2945" spans="1:8" x14ac:dyDescent="0.25">
      <c r="A2945" s="1" t="str">
        <f>"48138"</f>
        <v>48138</v>
      </c>
      <c r="B2945" s="1" t="str">
        <f>"19804"</f>
        <v>19804</v>
      </c>
      <c r="C2945" s="1" t="str">
        <f>"GROSSE ILE"</f>
        <v>GROSSE ILE</v>
      </c>
      <c r="D2945" s="1" t="str">
        <f>"MI"</f>
        <v>MI</v>
      </c>
      <c r="E2945" s="2">
        <v>1</v>
      </c>
      <c r="F2945" s="2">
        <v>1</v>
      </c>
      <c r="G2945" s="2">
        <v>1</v>
      </c>
      <c r="H2945" s="2">
        <v>1</v>
      </c>
    </row>
    <row r="2946" spans="1:8" x14ac:dyDescent="0.25">
      <c r="A2946" s="1" t="str">
        <f>"48435"</f>
        <v>48435</v>
      </c>
      <c r="B2946" s="1" t="str">
        <f>"47664"</f>
        <v>47664</v>
      </c>
      <c r="C2946" s="1" t="str">
        <f>"FOSTORIA"</f>
        <v>FOSTORIA</v>
      </c>
      <c r="D2946" s="1" t="str">
        <f>"MI"</f>
        <v>MI</v>
      </c>
      <c r="E2946" s="2">
        <v>1</v>
      </c>
      <c r="F2946" s="2">
        <v>1</v>
      </c>
      <c r="G2946" s="2">
        <v>0</v>
      </c>
      <c r="H2946" s="2">
        <v>1</v>
      </c>
    </row>
    <row r="2947" spans="1:8" x14ac:dyDescent="0.25">
      <c r="A2947" s="1" t="str">
        <f>"53128"</f>
        <v>53128</v>
      </c>
      <c r="B2947" s="1" t="str">
        <f>"29404"</f>
        <v>29404</v>
      </c>
      <c r="C2947" s="1" t="str">
        <f>"GENOA CITY"</f>
        <v>GENOA CITY</v>
      </c>
      <c r="D2947" s="1" t="str">
        <f>"WI"</f>
        <v>WI</v>
      </c>
      <c r="E2947" s="2">
        <v>1</v>
      </c>
      <c r="F2947" s="2">
        <v>1</v>
      </c>
      <c r="G2947" s="2">
        <v>1</v>
      </c>
      <c r="H2947" s="2">
        <v>1</v>
      </c>
    </row>
    <row r="2948" spans="1:8" x14ac:dyDescent="0.25">
      <c r="A2948" s="1" t="str">
        <f>"60404"</f>
        <v>60404</v>
      </c>
      <c r="B2948" s="1" t="str">
        <f t="shared" ref="B2948:B2955" si="215">"16984"</f>
        <v>16984</v>
      </c>
      <c r="C2948" s="1" t="str">
        <f>"SHOREWOOD"</f>
        <v>SHOREWOOD</v>
      </c>
      <c r="D2948" s="1" t="str">
        <f t="shared" ref="D2948:D2955" si="216">"IL"</f>
        <v>IL</v>
      </c>
      <c r="E2948" s="2">
        <v>1</v>
      </c>
      <c r="F2948" s="2">
        <v>1</v>
      </c>
      <c r="G2948" s="2">
        <v>1</v>
      </c>
      <c r="H2948" s="2">
        <v>1</v>
      </c>
    </row>
    <row r="2949" spans="1:8" x14ac:dyDescent="0.25">
      <c r="A2949" s="1" t="str">
        <f>"60561"</f>
        <v>60561</v>
      </c>
      <c r="B2949" s="1" t="str">
        <f t="shared" si="215"/>
        <v>16984</v>
      </c>
      <c r="C2949" s="1" t="str">
        <f>"DARIEN"</f>
        <v>DARIEN</v>
      </c>
      <c r="D2949" s="1" t="str">
        <f t="shared" si="216"/>
        <v>IL</v>
      </c>
      <c r="E2949" s="2">
        <v>1</v>
      </c>
      <c r="F2949" s="2">
        <v>1</v>
      </c>
      <c r="G2949" s="2">
        <v>1</v>
      </c>
      <c r="H2949" s="2">
        <v>1</v>
      </c>
    </row>
    <row r="2950" spans="1:8" x14ac:dyDescent="0.25">
      <c r="A2950" s="1" t="str">
        <f>"60516"</f>
        <v>60516</v>
      </c>
      <c r="B2950" s="1" t="str">
        <f t="shared" si="215"/>
        <v>16984</v>
      </c>
      <c r="C2950" s="1" t="str">
        <f>"DOWNERS GROVE"</f>
        <v>DOWNERS GROVE</v>
      </c>
      <c r="D2950" s="1" t="str">
        <f t="shared" si="216"/>
        <v>IL</v>
      </c>
      <c r="E2950" s="2">
        <v>1</v>
      </c>
      <c r="F2950" s="2">
        <v>1</v>
      </c>
      <c r="G2950" s="2">
        <v>1</v>
      </c>
      <c r="H2950" s="2">
        <v>1</v>
      </c>
    </row>
    <row r="2951" spans="1:8" x14ac:dyDescent="0.25">
      <c r="A2951" s="1" t="str">
        <f>"60070"</f>
        <v>60070</v>
      </c>
      <c r="B2951" s="1" t="str">
        <f t="shared" si="215"/>
        <v>16984</v>
      </c>
      <c r="C2951" s="1" t="str">
        <f>"PROSPECT HEIGHTS"</f>
        <v>PROSPECT HEIGHTS</v>
      </c>
      <c r="D2951" s="1" t="str">
        <f t="shared" si="216"/>
        <v>IL</v>
      </c>
      <c r="E2951" s="2">
        <v>1</v>
      </c>
      <c r="F2951" s="2">
        <v>1</v>
      </c>
      <c r="G2951" s="2">
        <v>1</v>
      </c>
      <c r="H2951" s="2">
        <v>1</v>
      </c>
    </row>
    <row r="2952" spans="1:8" x14ac:dyDescent="0.25">
      <c r="A2952" s="1" t="str">
        <f>"60165"</f>
        <v>60165</v>
      </c>
      <c r="B2952" s="1" t="str">
        <f t="shared" si="215"/>
        <v>16984</v>
      </c>
      <c r="C2952" s="1" t="str">
        <f>"STONE PARK"</f>
        <v>STONE PARK</v>
      </c>
      <c r="D2952" s="1" t="str">
        <f t="shared" si="216"/>
        <v>IL</v>
      </c>
      <c r="E2952" s="2">
        <v>1</v>
      </c>
      <c r="F2952" s="2">
        <v>1</v>
      </c>
      <c r="G2952" s="2">
        <v>1</v>
      </c>
      <c r="H2952" s="2">
        <v>1</v>
      </c>
    </row>
    <row r="2953" spans="1:8" x14ac:dyDescent="0.25">
      <c r="A2953" s="1" t="str">
        <f>"60623"</f>
        <v>60623</v>
      </c>
      <c r="B2953" s="1" t="str">
        <f t="shared" si="215"/>
        <v>16984</v>
      </c>
      <c r="C2953" s="1" t="str">
        <f>"CHICAGO"</f>
        <v>CHICAGO</v>
      </c>
      <c r="D2953" s="1" t="str">
        <f t="shared" si="216"/>
        <v>IL</v>
      </c>
      <c r="E2953" s="2">
        <v>1</v>
      </c>
      <c r="F2953" s="2">
        <v>1</v>
      </c>
      <c r="G2953" s="2">
        <v>1</v>
      </c>
      <c r="H2953" s="2">
        <v>1</v>
      </c>
    </row>
    <row r="2954" spans="1:8" x14ac:dyDescent="0.25">
      <c r="A2954" s="1" t="str">
        <f>"60628"</f>
        <v>60628</v>
      </c>
      <c r="B2954" s="1" t="str">
        <f t="shared" si="215"/>
        <v>16984</v>
      </c>
      <c r="C2954" s="1" t="str">
        <f>"CHICAGO"</f>
        <v>CHICAGO</v>
      </c>
      <c r="D2954" s="1" t="str">
        <f t="shared" si="216"/>
        <v>IL</v>
      </c>
      <c r="E2954" s="2">
        <v>1</v>
      </c>
      <c r="F2954" s="2">
        <v>1</v>
      </c>
      <c r="G2954" s="2">
        <v>1</v>
      </c>
      <c r="H2954" s="2">
        <v>1</v>
      </c>
    </row>
    <row r="2955" spans="1:8" x14ac:dyDescent="0.25">
      <c r="A2955" s="1" t="str">
        <f>"60305"</f>
        <v>60305</v>
      </c>
      <c r="B2955" s="1" t="str">
        <f t="shared" si="215"/>
        <v>16984</v>
      </c>
      <c r="C2955" s="1" t="str">
        <f>"RIVER FOREST"</f>
        <v>RIVER FOREST</v>
      </c>
      <c r="D2955" s="1" t="str">
        <f t="shared" si="216"/>
        <v>IL</v>
      </c>
      <c r="E2955" s="2">
        <v>1</v>
      </c>
      <c r="F2955" s="2">
        <v>1</v>
      </c>
      <c r="G2955" s="2">
        <v>1</v>
      </c>
      <c r="H2955" s="2">
        <v>1</v>
      </c>
    </row>
    <row r="2956" spans="1:8" x14ac:dyDescent="0.25">
      <c r="A2956" s="1" t="str">
        <f>"75041"</f>
        <v>75041</v>
      </c>
      <c r="B2956" s="1" t="str">
        <f>"19124"</f>
        <v>19124</v>
      </c>
      <c r="C2956" s="1" t="str">
        <f>"GARLAND"</f>
        <v>GARLAND</v>
      </c>
      <c r="D2956" s="1" t="str">
        <f t="shared" ref="D2956:D2962" si="217">"TX"</f>
        <v>TX</v>
      </c>
      <c r="E2956" s="2">
        <v>1</v>
      </c>
      <c r="F2956" s="2">
        <v>1</v>
      </c>
      <c r="G2956" s="2">
        <v>1</v>
      </c>
      <c r="H2956" s="2">
        <v>1</v>
      </c>
    </row>
    <row r="2957" spans="1:8" x14ac:dyDescent="0.25">
      <c r="A2957" s="1" t="str">
        <f>"75244"</f>
        <v>75244</v>
      </c>
      <c r="B2957" s="1" t="str">
        <f>"19124"</f>
        <v>19124</v>
      </c>
      <c r="C2957" s="1" t="str">
        <f>"DALLAS"</f>
        <v>DALLAS</v>
      </c>
      <c r="D2957" s="1" t="str">
        <f t="shared" si="217"/>
        <v>TX</v>
      </c>
      <c r="E2957" s="2">
        <v>1</v>
      </c>
      <c r="F2957" s="2">
        <v>1</v>
      </c>
      <c r="G2957" s="2">
        <v>1</v>
      </c>
      <c r="H2957" s="2">
        <v>1</v>
      </c>
    </row>
    <row r="2958" spans="1:8" x14ac:dyDescent="0.25">
      <c r="A2958" s="1" t="str">
        <f>"75226"</f>
        <v>75226</v>
      </c>
      <c r="B2958" s="1" t="str">
        <f>"19124"</f>
        <v>19124</v>
      </c>
      <c r="C2958" s="1" t="str">
        <f>"DALLAS"</f>
        <v>DALLAS</v>
      </c>
      <c r="D2958" s="1" t="str">
        <f t="shared" si="217"/>
        <v>TX</v>
      </c>
      <c r="E2958" s="2">
        <v>1</v>
      </c>
      <c r="F2958" s="2">
        <v>1</v>
      </c>
      <c r="G2958" s="2">
        <v>1</v>
      </c>
      <c r="H2958" s="2">
        <v>1</v>
      </c>
    </row>
    <row r="2959" spans="1:8" x14ac:dyDescent="0.25">
      <c r="A2959" s="1" t="str">
        <f>"76225"</f>
        <v>76225</v>
      </c>
      <c r="B2959" s="1" t="str">
        <f>"23104"</f>
        <v>23104</v>
      </c>
      <c r="C2959" s="1" t="str">
        <f>"ALVORD"</f>
        <v>ALVORD</v>
      </c>
      <c r="D2959" s="1" t="str">
        <f t="shared" si="217"/>
        <v>TX</v>
      </c>
      <c r="E2959" s="2">
        <v>1</v>
      </c>
      <c r="F2959" s="2">
        <v>1</v>
      </c>
      <c r="G2959" s="2">
        <v>1</v>
      </c>
      <c r="H2959" s="2">
        <v>1</v>
      </c>
    </row>
    <row r="2960" spans="1:8" x14ac:dyDescent="0.25">
      <c r="A2960" s="1" t="str">
        <f>"76020"</f>
        <v>76020</v>
      </c>
      <c r="B2960" s="1" t="str">
        <f>"23104"</f>
        <v>23104</v>
      </c>
      <c r="C2960" s="1" t="str">
        <f>"AZLE"</f>
        <v>AZLE</v>
      </c>
      <c r="D2960" s="1" t="str">
        <f t="shared" si="217"/>
        <v>TX</v>
      </c>
      <c r="E2960" s="2">
        <v>1</v>
      </c>
      <c r="F2960" s="2">
        <v>1</v>
      </c>
      <c r="G2960" s="2">
        <v>1</v>
      </c>
      <c r="H2960" s="2">
        <v>1</v>
      </c>
    </row>
    <row r="2961" spans="1:8" x14ac:dyDescent="0.25">
      <c r="A2961" s="1" t="str">
        <f>"76114"</f>
        <v>76114</v>
      </c>
      <c r="B2961" s="1" t="str">
        <f>"23104"</f>
        <v>23104</v>
      </c>
      <c r="C2961" s="1" t="str">
        <f>"FORT WORTH"</f>
        <v>FORT WORTH</v>
      </c>
      <c r="D2961" s="1" t="str">
        <f t="shared" si="217"/>
        <v>TX</v>
      </c>
      <c r="E2961" s="2">
        <v>1</v>
      </c>
      <c r="F2961" s="2">
        <v>1</v>
      </c>
      <c r="G2961" s="2">
        <v>1</v>
      </c>
      <c r="H2961" s="2">
        <v>1</v>
      </c>
    </row>
    <row r="2962" spans="1:8" x14ac:dyDescent="0.25">
      <c r="A2962" s="1" t="str">
        <f>"76126"</f>
        <v>76126</v>
      </c>
      <c r="B2962" s="1" t="str">
        <f>"23104"</f>
        <v>23104</v>
      </c>
      <c r="C2962" s="1" t="str">
        <f>"FORT WORTH"</f>
        <v>FORT WORTH</v>
      </c>
      <c r="D2962" s="1" t="str">
        <f t="shared" si="217"/>
        <v>TX</v>
      </c>
      <c r="E2962" s="2">
        <v>1</v>
      </c>
      <c r="F2962" s="2">
        <v>1</v>
      </c>
      <c r="G2962" s="2">
        <v>1</v>
      </c>
      <c r="H2962" s="2">
        <v>1</v>
      </c>
    </row>
    <row r="2963" spans="1:8" x14ac:dyDescent="0.25">
      <c r="A2963" s="1" t="str">
        <f>"90018"</f>
        <v>90018</v>
      </c>
      <c r="B2963" s="1" t="str">
        <f t="shared" ref="B2963:B2970" si="218">"31084"</f>
        <v>31084</v>
      </c>
      <c r="C2963" s="1" t="str">
        <f>"LOS ANGELES"</f>
        <v>LOS ANGELES</v>
      </c>
      <c r="D2963" s="1" t="str">
        <f t="shared" ref="D2963:D2978" si="219">"CA"</f>
        <v>CA</v>
      </c>
      <c r="E2963" s="2">
        <v>1</v>
      </c>
      <c r="F2963" s="2">
        <v>1</v>
      </c>
      <c r="G2963" s="2">
        <v>1</v>
      </c>
      <c r="H2963" s="2">
        <v>1</v>
      </c>
    </row>
    <row r="2964" spans="1:8" x14ac:dyDescent="0.25">
      <c r="A2964" s="1" t="str">
        <f>"90213"</f>
        <v>90213</v>
      </c>
      <c r="B2964" s="1" t="str">
        <f t="shared" si="218"/>
        <v>31084</v>
      </c>
      <c r="C2964" s="1" t="str">
        <f>"BEVERLY HILLS"</f>
        <v>BEVERLY HILLS</v>
      </c>
      <c r="D2964" s="1" t="str">
        <f t="shared" si="219"/>
        <v>CA</v>
      </c>
      <c r="E2964" s="2">
        <v>1</v>
      </c>
      <c r="F2964" s="2">
        <v>1</v>
      </c>
      <c r="G2964" s="2">
        <v>1</v>
      </c>
      <c r="H2964" s="2">
        <v>1</v>
      </c>
    </row>
    <row r="2965" spans="1:8" x14ac:dyDescent="0.25">
      <c r="A2965" s="1" t="str">
        <f>"90280"</f>
        <v>90280</v>
      </c>
      <c r="B2965" s="1" t="str">
        <f t="shared" si="218"/>
        <v>31084</v>
      </c>
      <c r="C2965" s="1" t="str">
        <f>"SOUTH GATE"</f>
        <v>SOUTH GATE</v>
      </c>
      <c r="D2965" s="1" t="str">
        <f t="shared" si="219"/>
        <v>CA</v>
      </c>
      <c r="E2965" s="2">
        <v>1</v>
      </c>
      <c r="F2965" s="2">
        <v>1</v>
      </c>
      <c r="G2965" s="2">
        <v>1</v>
      </c>
      <c r="H2965" s="2">
        <v>1</v>
      </c>
    </row>
    <row r="2966" spans="1:8" x14ac:dyDescent="0.25">
      <c r="A2966" s="1" t="str">
        <f>"90637"</f>
        <v>90637</v>
      </c>
      <c r="B2966" s="1" t="str">
        <f t="shared" si="218"/>
        <v>31084</v>
      </c>
      <c r="C2966" s="1" t="str">
        <f>"LA MIRADA"</f>
        <v>LA MIRADA</v>
      </c>
      <c r="D2966" s="1" t="str">
        <f t="shared" si="219"/>
        <v>CA</v>
      </c>
      <c r="E2966" s="2">
        <v>1</v>
      </c>
      <c r="F2966" s="2">
        <v>1</v>
      </c>
      <c r="G2966" s="2">
        <v>1</v>
      </c>
      <c r="H2966" s="2">
        <v>1</v>
      </c>
    </row>
    <row r="2967" spans="1:8" x14ac:dyDescent="0.25">
      <c r="A2967" s="1" t="str">
        <f>"90503"</f>
        <v>90503</v>
      </c>
      <c r="B2967" s="1" t="str">
        <f t="shared" si="218"/>
        <v>31084</v>
      </c>
      <c r="C2967" s="1" t="str">
        <f>"TORRANCE"</f>
        <v>TORRANCE</v>
      </c>
      <c r="D2967" s="1" t="str">
        <f t="shared" si="219"/>
        <v>CA</v>
      </c>
      <c r="E2967" s="2">
        <v>1</v>
      </c>
      <c r="F2967" s="2">
        <v>1</v>
      </c>
      <c r="G2967" s="2">
        <v>1</v>
      </c>
      <c r="H2967" s="2">
        <v>1</v>
      </c>
    </row>
    <row r="2968" spans="1:8" x14ac:dyDescent="0.25">
      <c r="A2968" s="1" t="str">
        <f>"90302"</f>
        <v>90302</v>
      </c>
      <c r="B2968" s="1" t="str">
        <f t="shared" si="218"/>
        <v>31084</v>
      </c>
      <c r="C2968" s="1" t="str">
        <f>"INGLEWOOD"</f>
        <v>INGLEWOOD</v>
      </c>
      <c r="D2968" s="1" t="str">
        <f t="shared" si="219"/>
        <v>CA</v>
      </c>
      <c r="E2968" s="2">
        <v>1</v>
      </c>
      <c r="F2968" s="2">
        <v>1</v>
      </c>
      <c r="G2968" s="2">
        <v>1</v>
      </c>
      <c r="H2968" s="2">
        <v>1</v>
      </c>
    </row>
    <row r="2969" spans="1:8" x14ac:dyDescent="0.25">
      <c r="A2969" s="1" t="str">
        <f>"91602"</f>
        <v>91602</v>
      </c>
      <c r="B2969" s="1" t="str">
        <f t="shared" si="218"/>
        <v>31084</v>
      </c>
      <c r="C2969" s="1" t="str">
        <f>"NORTH HOLLYWOOD"</f>
        <v>NORTH HOLLYWOOD</v>
      </c>
      <c r="D2969" s="1" t="str">
        <f t="shared" si="219"/>
        <v>CA</v>
      </c>
      <c r="E2969" s="2">
        <v>1</v>
      </c>
      <c r="F2969" s="2">
        <v>1</v>
      </c>
      <c r="G2969" s="2">
        <v>1</v>
      </c>
      <c r="H2969" s="2">
        <v>1</v>
      </c>
    </row>
    <row r="2970" spans="1:8" x14ac:dyDescent="0.25">
      <c r="A2970" s="1" t="str">
        <f>"91041"</f>
        <v>91041</v>
      </c>
      <c r="B2970" s="1" t="str">
        <f t="shared" si="218"/>
        <v>31084</v>
      </c>
      <c r="C2970" s="1" t="str">
        <f>"SUNLAND"</f>
        <v>SUNLAND</v>
      </c>
      <c r="D2970" s="1" t="str">
        <f t="shared" si="219"/>
        <v>CA</v>
      </c>
      <c r="E2970" s="2">
        <v>1</v>
      </c>
      <c r="F2970" s="2">
        <v>1</v>
      </c>
      <c r="G2970" s="2">
        <v>1</v>
      </c>
      <c r="H2970" s="2">
        <v>1</v>
      </c>
    </row>
    <row r="2971" spans="1:8" x14ac:dyDescent="0.25">
      <c r="A2971" s="1" t="str">
        <f>"94030"</f>
        <v>94030</v>
      </c>
      <c r="B2971" s="1" t="str">
        <f>"41884"</f>
        <v>41884</v>
      </c>
      <c r="C2971" s="1" t="str">
        <f>"MILLBRAE"</f>
        <v>MILLBRAE</v>
      </c>
      <c r="D2971" s="1" t="str">
        <f t="shared" si="219"/>
        <v>CA</v>
      </c>
      <c r="E2971" s="2">
        <v>1</v>
      </c>
      <c r="F2971" s="2">
        <v>1</v>
      </c>
      <c r="G2971" s="2">
        <v>1</v>
      </c>
      <c r="H2971" s="2">
        <v>1</v>
      </c>
    </row>
    <row r="2972" spans="1:8" x14ac:dyDescent="0.25">
      <c r="A2972" s="1" t="str">
        <f>"92672"</f>
        <v>92672</v>
      </c>
      <c r="B2972" s="1" t="str">
        <f>"11244"</f>
        <v>11244</v>
      </c>
      <c r="C2972" s="1" t="str">
        <f>"SAN CLEMENTE"</f>
        <v>SAN CLEMENTE</v>
      </c>
      <c r="D2972" s="1" t="str">
        <f t="shared" si="219"/>
        <v>CA</v>
      </c>
      <c r="E2972" s="2">
        <v>1</v>
      </c>
      <c r="F2972" s="2">
        <v>1</v>
      </c>
      <c r="G2972" s="2">
        <v>1</v>
      </c>
      <c r="H2972" s="2">
        <v>1</v>
      </c>
    </row>
    <row r="2973" spans="1:8" x14ac:dyDescent="0.25">
      <c r="A2973" s="1" t="str">
        <f>"92649"</f>
        <v>92649</v>
      </c>
      <c r="B2973" s="1" t="str">
        <f>"11244"</f>
        <v>11244</v>
      </c>
      <c r="C2973" s="1" t="str">
        <f>"HUNTINGTON BEACH"</f>
        <v>HUNTINGTON BEACH</v>
      </c>
      <c r="D2973" s="1" t="str">
        <f t="shared" si="219"/>
        <v>CA</v>
      </c>
      <c r="E2973" s="2">
        <v>1</v>
      </c>
      <c r="F2973" s="2">
        <v>1</v>
      </c>
      <c r="G2973" s="2">
        <v>1</v>
      </c>
      <c r="H2973" s="2">
        <v>1</v>
      </c>
    </row>
    <row r="2974" spans="1:8" x14ac:dyDescent="0.25">
      <c r="A2974" s="1" t="str">
        <f>"92679"</f>
        <v>92679</v>
      </c>
      <c r="B2974" s="1" t="str">
        <f>"11244"</f>
        <v>11244</v>
      </c>
      <c r="C2974" s="1" t="str">
        <f>"TRABUCO CANYON"</f>
        <v>TRABUCO CANYON</v>
      </c>
      <c r="D2974" s="1" t="str">
        <f t="shared" si="219"/>
        <v>CA</v>
      </c>
      <c r="E2974" s="2">
        <v>1</v>
      </c>
      <c r="F2974" s="2">
        <v>1</v>
      </c>
      <c r="G2974" s="2">
        <v>1</v>
      </c>
      <c r="H2974" s="2">
        <v>1</v>
      </c>
    </row>
    <row r="2975" spans="1:8" x14ac:dyDescent="0.25">
      <c r="A2975" s="1" t="str">
        <f>"91214"</f>
        <v>91214</v>
      </c>
      <c r="B2975" s="1" t="str">
        <f>"31084"</f>
        <v>31084</v>
      </c>
      <c r="C2975" s="1" t="str">
        <f>"LA CRESCENTA"</f>
        <v>LA CRESCENTA</v>
      </c>
      <c r="D2975" s="1" t="str">
        <f t="shared" si="219"/>
        <v>CA</v>
      </c>
      <c r="E2975" s="2">
        <v>1</v>
      </c>
      <c r="F2975" s="2">
        <v>1</v>
      </c>
      <c r="G2975" s="2">
        <v>1</v>
      </c>
      <c r="H2975" s="2">
        <v>1</v>
      </c>
    </row>
    <row r="2976" spans="1:8" x14ac:dyDescent="0.25">
      <c r="A2976" s="1" t="str">
        <f>"92845"</f>
        <v>92845</v>
      </c>
      <c r="B2976" s="1" t="str">
        <f>"11244"</f>
        <v>11244</v>
      </c>
      <c r="C2976" s="1" t="str">
        <f>"GARDEN GROVE"</f>
        <v>GARDEN GROVE</v>
      </c>
      <c r="D2976" s="1" t="str">
        <f t="shared" si="219"/>
        <v>CA</v>
      </c>
      <c r="E2976" s="2">
        <v>1</v>
      </c>
      <c r="F2976" s="2">
        <v>1</v>
      </c>
      <c r="G2976" s="2">
        <v>1</v>
      </c>
      <c r="H2976" s="2">
        <v>1</v>
      </c>
    </row>
    <row r="2977" spans="1:8" x14ac:dyDescent="0.25">
      <c r="A2977" s="1" t="str">
        <f>"92604"</f>
        <v>92604</v>
      </c>
      <c r="B2977" s="1" t="str">
        <f>"11244"</f>
        <v>11244</v>
      </c>
      <c r="C2977" s="1" t="str">
        <f>"IRVINE"</f>
        <v>IRVINE</v>
      </c>
      <c r="D2977" s="1" t="str">
        <f t="shared" si="219"/>
        <v>CA</v>
      </c>
      <c r="E2977" s="2">
        <v>1</v>
      </c>
      <c r="F2977" s="2">
        <v>1</v>
      </c>
      <c r="G2977" s="2">
        <v>1</v>
      </c>
      <c r="H2977" s="2">
        <v>1</v>
      </c>
    </row>
    <row r="2978" spans="1:8" x14ac:dyDescent="0.25">
      <c r="A2978" s="1" t="str">
        <f>"92607"</f>
        <v>92607</v>
      </c>
      <c r="B2978" s="1" t="str">
        <f>"11244"</f>
        <v>11244</v>
      </c>
      <c r="C2978" s="1" t="str">
        <f>"LAGUNA NIGUEL"</f>
        <v>LAGUNA NIGUEL</v>
      </c>
      <c r="D2978" s="1" t="str">
        <f t="shared" si="219"/>
        <v>CA</v>
      </c>
      <c r="E2978" s="2">
        <v>1</v>
      </c>
      <c r="F2978" s="2">
        <v>1</v>
      </c>
      <c r="G2978" s="2">
        <v>1</v>
      </c>
      <c r="H2978" s="2">
        <v>1</v>
      </c>
    </row>
    <row r="2979" spans="1:8" x14ac:dyDescent="0.25">
      <c r="A2979" s="1" t="str">
        <f>"98015"</f>
        <v>98015</v>
      </c>
      <c r="B2979" s="1" t="str">
        <f>"42644"</f>
        <v>42644</v>
      </c>
      <c r="C2979" s="1" t="str">
        <f>"BELLEVUE"</f>
        <v>BELLEVUE</v>
      </c>
      <c r="D2979" s="1" t="str">
        <f t="shared" ref="D2979:D2984" si="220">"WA"</f>
        <v>WA</v>
      </c>
      <c r="E2979" s="2">
        <v>1</v>
      </c>
      <c r="F2979" s="2">
        <v>1</v>
      </c>
      <c r="G2979" s="2">
        <v>1</v>
      </c>
      <c r="H2979" s="2">
        <v>1</v>
      </c>
    </row>
    <row r="2980" spans="1:8" x14ac:dyDescent="0.25">
      <c r="A2980" s="1" t="str">
        <f>"98070"</f>
        <v>98070</v>
      </c>
      <c r="B2980" s="1" t="str">
        <f>"42644"</f>
        <v>42644</v>
      </c>
      <c r="C2980" s="1" t="str">
        <f>"VASHON"</f>
        <v>VASHON</v>
      </c>
      <c r="D2980" s="1" t="str">
        <f t="shared" si="220"/>
        <v>WA</v>
      </c>
      <c r="E2980" s="2">
        <v>1</v>
      </c>
      <c r="F2980" s="2">
        <v>1</v>
      </c>
      <c r="G2980" s="2">
        <v>1</v>
      </c>
      <c r="H2980" s="2">
        <v>1</v>
      </c>
    </row>
    <row r="2981" spans="1:8" x14ac:dyDescent="0.25">
      <c r="A2981" s="1" t="str">
        <f>"98404"</f>
        <v>98404</v>
      </c>
      <c r="B2981" s="1" t="str">
        <f>"45104"</f>
        <v>45104</v>
      </c>
      <c r="C2981" s="1" t="str">
        <f>"TACOMA"</f>
        <v>TACOMA</v>
      </c>
      <c r="D2981" s="1" t="str">
        <f t="shared" si="220"/>
        <v>WA</v>
      </c>
      <c r="E2981" s="2">
        <v>1</v>
      </c>
      <c r="F2981" s="2">
        <v>1</v>
      </c>
      <c r="G2981" s="2">
        <v>1</v>
      </c>
      <c r="H2981" s="2">
        <v>1</v>
      </c>
    </row>
    <row r="2982" spans="1:8" x14ac:dyDescent="0.25">
      <c r="A2982" s="1" t="str">
        <f>"98101"</f>
        <v>98101</v>
      </c>
      <c r="B2982" s="1" t="str">
        <f>"42644"</f>
        <v>42644</v>
      </c>
      <c r="C2982" s="1" t="str">
        <f>"SEATTLE"</f>
        <v>SEATTLE</v>
      </c>
      <c r="D2982" s="1" t="str">
        <f t="shared" si="220"/>
        <v>WA</v>
      </c>
      <c r="E2982" s="2">
        <v>1</v>
      </c>
      <c r="F2982" s="2">
        <v>1</v>
      </c>
      <c r="G2982" s="2">
        <v>1</v>
      </c>
      <c r="H2982" s="2">
        <v>1</v>
      </c>
    </row>
    <row r="2983" spans="1:8" x14ac:dyDescent="0.25">
      <c r="A2983" s="1" t="str">
        <f>"98499"</f>
        <v>98499</v>
      </c>
      <c r="B2983" s="1" t="str">
        <f>"45104"</f>
        <v>45104</v>
      </c>
      <c r="C2983" s="1" t="str">
        <f>"LAKEWOOD"</f>
        <v>LAKEWOOD</v>
      </c>
      <c r="D2983" s="1" t="str">
        <f t="shared" si="220"/>
        <v>WA</v>
      </c>
      <c r="E2983" s="2">
        <v>1</v>
      </c>
      <c r="F2983" s="2">
        <v>1</v>
      </c>
      <c r="G2983" s="2">
        <v>1</v>
      </c>
      <c r="H2983" s="2">
        <v>1</v>
      </c>
    </row>
    <row r="2984" spans="1:8" x14ac:dyDescent="0.25">
      <c r="A2984" s="1" t="str">
        <f>"98424"</f>
        <v>98424</v>
      </c>
      <c r="B2984" s="1" t="str">
        <f>"45104"</f>
        <v>45104</v>
      </c>
      <c r="C2984" s="1" t="str">
        <f>"FIFE"</f>
        <v>FIFE</v>
      </c>
      <c r="D2984" s="1" t="str">
        <f t="shared" si="220"/>
        <v>WA</v>
      </c>
      <c r="E2984" s="2">
        <v>1</v>
      </c>
      <c r="F2984" s="2">
        <v>1</v>
      </c>
      <c r="G2984" s="2">
        <v>1</v>
      </c>
      <c r="H2984" s="2">
        <v>1</v>
      </c>
    </row>
    <row r="2985" spans="1:8" x14ac:dyDescent="0.25">
      <c r="A2985" s="1" t="str">
        <f>"03852"</f>
        <v>03852</v>
      </c>
      <c r="B2985" s="1" t="str">
        <f>"40484"</f>
        <v>40484</v>
      </c>
      <c r="C2985" s="1" t="str">
        <f>"MILTON MILLS"</f>
        <v>MILTON MILLS</v>
      </c>
      <c r="D2985" s="1" t="str">
        <f>"NH"</f>
        <v>NH</v>
      </c>
      <c r="E2985" s="2">
        <v>1</v>
      </c>
      <c r="F2985" s="2">
        <v>0</v>
      </c>
      <c r="G2985" s="2">
        <v>1</v>
      </c>
      <c r="H2985" s="2">
        <v>1</v>
      </c>
    </row>
    <row r="2986" spans="1:8" x14ac:dyDescent="0.25">
      <c r="A2986" s="1" t="str">
        <f>"07852"</f>
        <v>07852</v>
      </c>
      <c r="B2986" s="1" t="str">
        <f>"35084"</f>
        <v>35084</v>
      </c>
      <c r="C2986" s="1" t="str">
        <f>"LEDGEWOOD"</f>
        <v>LEDGEWOOD</v>
      </c>
      <c r="D2986" s="1" t="str">
        <f>"NJ"</f>
        <v>NJ</v>
      </c>
      <c r="E2986" s="2">
        <v>1</v>
      </c>
      <c r="F2986" s="2">
        <v>1</v>
      </c>
      <c r="G2986" s="2">
        <v>1</v>
      </c>
      <c r="H2986" s="2">
        <v>1</v>
      </c>
    </row>
    <row r="2987" spans="1:8" x14ac:dyDescent="0.25">
      <c r="A2987" s="1" t="str">
        <f>"10123"</f>
        <v>10123</v>
      </c>
      <c r="B2987" s="1" t="str">
        <f>"35614"</f>
        <v>35614</v>
      </c>
      <c r="C2987" s="1" t="str">
        <f>"NEW YORK"</f>
        <v>NEW YORK</v>
      </c>
      <c r="D2987" s="1" t="str">
        <f>"NY"</f>
        <v>NY</v>
      </c>
      <c r="E2987" s="2">
        <v>0</v>
      </c>
      <c r="F2987" s="2">
        <v>1</v>
      </c>
      <c r="G2987" s="2">
        <v>1</v>
      </c>
      <c r="H2987" s="2">
        <v>1</v>
      </c>
    </row>
    <row r="2988" spans="1:8" x14ac:dyDescent="0.25">
      <c r="A2988" s="1" t="str">
        <f>"19031"</f>
        <v>19031</v>
      </c>
      <c r="B2988" s="1" t="str">
        <f>"33874"</f>
        <v>33874</v>
      </c>
      <c r="C2988" s="1" t="str">
        <f>"FLOURTOWN"</f>
        <v>FLOURTOWN</v>
      </c>
      <c r="D2988" s="1" t="str">
        <f>"PA"</f>
        <v>PA</v>
      </c>
      <c r="E2988" s="2">
        <v>1</v>
      </c>
      <c r="F2988" s="2">
        <v>1</v>
      </c>
      <c r="G2988" s="2">
        <v>1</v>
      </c>
      <c r="H2988" s="2">
        <v>1</v>
      </c>
    </row>
    <row r="2989" spans="1:8" x14ac:dyDescent="0.25">
      <c r="A2989" s="1" t="str">
        <f>"20709"</f>
        <v>20709</v>
      </c>
      <c r="B2989" s="1" t="str">
        <f>"47894"</f>
        <v>47894</v>
      </c>
      <c r="C2989" s="1" t="str">
        <f>"LAUREL"</f>
        <v>LAUREL</v>
      </c>
      <c r="D2989" s="1" t="str">
        <f>"MD"</f>
        <v>MD</v>
      </c>
      <c r="E2989" s="2">
        <v>1</v>
      </c>
      <c r="F2989" s="2">
        <v>1</v>
      </c>
      <c r="G2989" s="2">
        <v>1</v>
      </c>
      <c r="H2989" s="2">
        <v>1</v>
      </c>
    </row>
    <row r="2990" spans="1:8" x14ac:dyDescent="0.25">
      <c r="A2990" s="1" t="str">
        <f>"33310"</f>
        <v>33310</v>
      </c>
      <c r="B2990" s="1" t="str">
        <f>"22744"</f>
        <v>22744</v>
      </c>
      <c r="C2990" s="1" t="str">
        <f>"FORT LAUDERDALE"</f>
        <v>FORT LAUDERDALE</v>
      </c>
      <c r="D2990" s="1" t="str">
        <f>"FL"</f>
        <v>FL</v>
      </c>
      <c r="E2990" s="2">
        <v>1</v>
      </c>
      <c r="F2990" s="2">
        <v>1</v>
      </c>
      <c r="G2990" s="2">
        <v>1</v>
      </c>
      <c r="H2990" s="2">
        <v>1</v>
      </c>
    </row>
    <row r="2991" spans="1:8" x14ac:dyDescent="0.25">
      <c r="A2991" s="1" t="str">
        <f>"75367"</f>
        <v>75367</v>
      </c>
      <c r="B2991" s="1" t="str">
        <f>"19124"</f>
        <v>19124</v>
      </c>
      <c r="C2991" s="1" t="str">
        <f>"DALLAS"</f>
        <v>DALLAS</v>
      </c>
      <c r="D2991" s="1" t="str">
        <f>"TX"</f>
        <v>TX</v>
      </c>
      <c r="E2991" s="2">
        <v>1</v>
      </c>
      <c r="F2991" s="2">
        <v>1</v>
      </c>
      <c r="G2991" s="2">
        <v>1</v>
      </c>
      <c r="H2991" s="2">
        <v>1</v>
      </c>
    </row>
    <row r="2992" spans="1:8" x14ac:dyDescent="0.25">
      <c r="A2992" s="1" t="str">
        <f>"90052"</f>
        <v>90052</v>
      </c>
      <c r="B2992" s="1" t="str">
        <f>"31084"</f>
        <v>31084</v>
      </c>
      <c r="C2992" s="1" t="str">
        <f>"LOS ANGELES"</f>
        <v>LOS ANGELES</v>
      </c>
      <c r="D2992" s="1" t="str">
        <f>"CA"</f>
        <v>CA</v>
      </c>
      <c r="E2992" s="2">
        <v>0</v>
      </c>
      <c r="F2992" s="2">
        <v>1</v>
      </c>
      <c r="G2992" s="2">
        <v>1</v>
      </c>
      <c r="H2992" s="2">
        <v>1</v>
      </c>
    </row>
    <row r="2993" spans="1:8" x14ac:dyDescent="0.25">
      <c r="A2993" s="1" t="str">
        <f>"94038"</f>
        <v>94038</v>
      </c>
      <c r="B2993" s="1" t="str">
        <f>"41884"</f>
        <v>41884</v>
      </c>
      <c r="C2993" s="1" t="str">
        <f>"MOSS BEACH"</f>
        <v>MOSS BEACH</v>
      </c>
      <c r="D2993" s="1" t="str">
        <f>"CA"</f>
        <v>CA</v>
      </c>
      <c r="E2993" s="2">
        <v>1</v>
      </c>
      <c r="F2993" s="2">
        <v>1</v>
      </c>
      <c r="G2993" s="2">
        <v>1</v>
      </c>
      <c r="H2993" s="2">
        <v>1</v>
      </c>
    </row>
    <row r="2994" spans="1:8" x14ac:dyDescent="0.25">
      <c r="A2994" s="1" t="str">
        <f>"98287"</f>
        <v>98287</v>
      </c>
      <c r="B2994" s="1" t="str">
        <f>"42644"</f>
        <v>42644</v>
      </c>
      <c r="C2994" s="1" t="str">
        <f>"SILVANA"</f>
        <v>SILVANA</v>
      </c>
      <c r="D2994" s="1" t="str">
        <f>"WA"</f>
        <v>WA</v>
      </c>
      <c r="E2994" s="2">
        <v>1</v>
      </c>
      <c r="F2994" s="2">
        <v>1</v>
      </c>
      <c r="G2994" s="2">
        <v>1</v>
      </c>
      <c r="H2994" s="2">
        <v>1</v>
      </c>
    </row>
    <row r="2995" spans="1:8" x14ac:dyDescent="0.25">
      <c r="A2995" s="1" t="str">
        <f>"98194"</f>
        <v>98194</v>
      </c>
      <c r="B2995" s="1" t="str">
        <f>"42644"</f>
        <v>42644</v>
      </c>
      <c r="C2995" s="1" t="str">
        <f>"SEATTLE"</f>
        <v>SEATTLE</v>
      </c>
      <c r="D2995" s="1" t="str">
        <f>"WA"</f>
        <v>WA</v>
      </c>
      <c r="E2995" s="2">
        <v>1</v>
      </c>
      <c r="F2995" s="2">
        <v>1</v>
      </c>
      <c r="G2995" s="2">
        <v>1</v>
      </c>
      <c r="H2995" s="2">
        <v>1</v>
      </c>
    </row>
    <row r="2996" spans="1:8" x14ac:dyDescent="0.25">
      <c r="A2996" s="1" t="str">
        <f>"07088"</f>
        <v>07088</v>
      </c>
      <c r="B2996" s="1" t="str">
        <f>"35084"</f>
        <v>35084</v>
      </c>
      <c r="C2996" s="1" t="str">
        <f>"VAUXHALL"</f>
        <v>VAUXHALL</v>
      </c>
      <c r="D2996" s="1" t="str">
        <f>"NJ"</f>
        <v>NJ</v>
      </c>
      <c r="E2996" s="2">
        <v>1</v>
      </c>
      <c r="F2996" s="2">
        <v>1</v>
      </c>
      <c r="G2996" s="2">
        <v>1</v>
      </c>
      <c r="H2996" s="2">
        <v>1</v>
      </c>
    </row>
    <row r="2997" spans="1:8" x14ac:dyDescent="0.25">
      <c r="A2997" s="1" t="str">
        <f>"20915"</f>
        <v>20915</v>
      </c>
      <c r="B2997" s="1" t="str">
        <f>"23224"</f>
        <v>23224</v>
      </c>
      <c r="C2997" s="1" t="str">
        <f>"SILVER SPRING"</f>
        <v>SILVER SPRING</v>
      </c>
      <c r="D2997" s="1" t="str">
        <f>"MD"</f>
        <v>MD</v>
      </c>
      <c r="E2997" s="2">
        <v>1</v>
      </c>
      <c r="F2997" s="2">
        <v>1</v>
      </c>
      <c r="G2997" s="2">
        <v>1</v>
      </c>
      <c r="H2997" s="2">
        <v>1</v>
      </c>
    </row>
    <row r="2998" spans="1:8" x14ac:dyDescent="0.25">
      <c r="A2998" s="1" t="str">
        <f>"20188"</f>
        <v>20188</v>
      </c>
      <c r="B2998" s="1" t="str">
        <f>"47894"</f>
        <v>47894</v>
      </c>
      <c r="C2998" s="1" t="str">
        <f>"WARRENTON"</f>
        <v>WARRENTON</v>
      </c>
      <c r="D2998" s="1" t="str">
        <f>"VA"</f>
        <v>VA</v>
      </c>
      <c r="E2998" s="2">
        <v>1</v>
      </c>
      <c r="F2998" s="2">
        <v>1</v>
      </c>
      <c r="G2998" s="2">
        <v>1</v>
      </c>
      <c r="H2998" s="2">
        <v>1</v>
      </c>
    </row>
    <row r="2999" spans="1:8" x14ac:dyDescent="0.25">
      <c r="A2999" s="1" t="str">
        <f>"22508"</f>
        <v>22508</v>
      </c>
      <c r="B2999" s="1" t="str">
        <f>"47894"</f>
        <v>47894</v>
      </c>
      <c r="C2999" s="1" t="str">
        <f>"LOCUST GROVE"</f>
        <v>LOCUST GROVE</v>
      </c>
      <c r="D2999" s="1" t="str">
        <f>"VA"</f>
        <v>VA</v>
      </c>
      <c r="E2999" s="2">
        <v>1</v>
      </c>
      <c r="F2999" s="2">
        <v>0</v>
      </c>
      <c r="G2999" s="2">
        <v>0</v>
      </c>
      <c r="H2999" s="2">
        <v>1</v>
      </c>
    </row>
    <row r="3000" spans="1:8" x14ac:dyDescent="0.25">
      <c r="A3000" s="1" t="str">
        <f>"48318"</f>
        <v>48318</v>
      </c>
      <c r="B3000" s="1" t="str">
        <f>"47664"</f>
        <v>47664</v>
      </c>
      <c r="C3000" s="1" t="str">
        <f>"UTICA"</f>
        <v>UTICA</v>
      </c>
      <c r="D3000" s="1" t="str">
        <f>"MI"</f>
        <v>MI</v>
      </c>
      <c r="E3000" s="2">
        <v>1</v>
      </c>
      <c r="F3000" s="2">
        <v>1</v>
      </c>
      <c r="G3000" s="2">
        <v>1</v>
      </c>
      <c r="H3000" s="2">
        <v>1</v>
      </c>
    </row>
    <row r="3001" spans="1:8" x14ac:dyDescent="0.25">
      <c r="A3001" s="1" t="str">
        <f>"60146"</f>
        <v>60146</v>
      </c>
      <c r="B3001" s="1" t="str">
        <f>"20994"</f>
        <v>20994</v>
      </c>
      <c r="C3001" s="1" t="str">
        <f>"KIRKLAND"</f>
        <v>KIRKLAND</v>
      </c>
      <c r="D3001" s="1" t="str">
        <f>"IL"</f>
        <v>IL</v>
      </c>
      <c r="E3001" s="2">
        <v>1</v>
      </c>
      <c r="F3001" s="2">
        <v>1</v>
      </c>
      <c r="G3001" s="2">
        <v>1</v>
      </c>
      <c r="H3001" s="2">
        <v>1</v>
      </c>
    </row>
    <row r="3002" spans="1:8" x14ac:dyDescent="0.25">
      <c r="A3002" s="1" t="str">
        <f>"60693"</f>
        <v>60693</v>
      </c>
      <c r="B3002" s="1" t="str">
        <f>"16984"</f>
        <v>16984</v>
      </c>
      <c r="C3002" s="1" t="str">
        <f>"CHICAGO"</f>
        <v>CHICAGO</v>
      </c>
      <c r="D3002" s="1" t="str">
        <f>"IL"</f>
        <v>IL</v>
      </c>
      <c r="E3002" s="2">
        <v>0</v>
      </c>
      <c r="F3002" s="2">
        <v>0</v>
      </c>
      <c r="G3002" s="2">
        <v>1</v>
      </c>
      <c r="H3002" s="2">
        <v>1</v>
      </c>
    </row>
    <row r="3003" spans="1:8" x14ac:dyDescent="0.25">
      <c r="A3003" s="1" t="str">
        <f>"75376"</f>
        <v>75376</v>
      </c>
      <c r="B3003" s="1" t="str">
        <f>"19124"</f>
        <v>19124</v>
      </c>
      <c r="C3003" s="1" t="str">
        <f>"DALLAS"</f>
        <v>DALLAS</v>
      </c>
      <c r="D3003" s="1" t="str">
        <f>"TX"</f>
        <v>TX</v>
      </c>
      <c r="E3003" s="2">
        <v>1</v>
      </c>
      <c r="F3003" s="2">
        <v>1</v>
      </c>
      <c r="G3003" s="2">
        <v>1</v>
      </c>
      <c r="H3003" s="2">
        <v>1</v>
      </c>
    </row>
    <row r="3004" spans="1:8" x14ac:dyDescent="0.25">
      <c r="A3004" s="1" t="str">
        <f>"90060"</f>
        <v>90060</v>
      </c>
      <c r="B3004" s="1" t="str">
        <f>"31084"</f>
        <v>31084</v>
      </c>
      <c r="C3004" s="1" t="str">
        <f>"LOS ANGELES"</f>
        <v>LOS ANGELES</v>
      </c>
      <c r="D3004" s="1" t="str">
        <f>"CA"</f>
        <v>CA</v>
      </c>
      <c r="E3004" s="2">
        <v>1</v>
      </c>
      <c r="F3004" s="2">
        <v>1</v>
      </c>
      <c r="G3004" s="2">
        <v>1</v>
      </c>
      <c r="H3004" s="2">
        <v>1</v>
      </c>
    </row>
    <row r="3005" spans="1:8" x14ac:dyDescent="0.25">
      <c r="A3005" s="1" t="str">
        <f>"90832"</f>
        <v>90832</v>
      </c>
      <c r="B3005" s="1" t="str">
        <f>"31084"</f>
        <v>31084</v>
      </c>
      <c r="C3005" s="1" t="str">
        <f>"LONG BEACH"</f>
        <v>LONG BEACH</v>
      </c>
      <c r="D3005" s="1" t="str">
        <f>"CA"</f>
        <v>CA</v>
      </c>
      <c r="E3005" s="2">
        <v>1</v>
      </c>
      <c r="F3005" s="2">
        <v>1</v>
      </c>
      <c r="G3005" s="2">
        <v>1</v>
      </c>
      <c r="H3005" s="2">
        <v>1</v>
      </c>
    </row>
    <row r="3006" spans="1:8" x14ac:dyDescent="0.25">
      <c r="A3006" s="1" t="str">
        <f>"91386"</f>
        <v>91386</v>
      </c>
      <c r="B3006" s="1" t="str">
        <f>"31084"</f>
        <v>31084</v>
      </c>
      <c r="C3006" s="1" t="str">
        <f>"CANYON COUNTRY"</f>
        <v>CANYON COUNTRY</v>
      </c>
      <c r="D3006" s="1" t="str">
        <f>"CA"</f>
        <v>CA</v>
      </c>
      <c r="E3006" s="2">
        <v>1</v>
      </c>
      <c r="F3006" s="2">
        <v>1</v>
      </c>
      <c r="G3006" s="2">
        <v>1</v>
      </c>
      <c r="H3006" s="2">
        <v>1</v>
      </c>
    </row>
    <row r="3007" spans="1:8" x14ac:dyDescent="0.25">
      <c r="A3007" s="1" t="str">
        <f>"91793"</f>
        <v>91793</v>
      </c>
      <c r="B3007" s="1" t="str">
        <f>"31084"</f>
        <v>31084</v>
      </c>
      <c r="C3007" s="1" t="str">
        <f>"WEST COVINA"</f>
        <v>WEST COVINA</v>
      </c>
      <c r="D3007" s="1" t="str">
        <f>"CA"</f>
        <v>CA</v>
      </c>
      <c r="E3007" s="2">
        <v>1</v>
      </c>
      <c r="F3007" s="2">
        <v>1</v>
      </c>
      <c r="G3007" s="2">
        <v>1</v>
      </c>
      <c r="H3007" s="2">
        <v>1</v>
      </c>
    </row>
    <row r="3008" spans="1:8" x14ac:dyDescent="0.25">
      <c r="A3008" s="1" t="str">
        <f>"07723"</f>
        <v>07723</v>
      </c>
      <c r="B3008" s="1" t="str">
        <f>"35154"</f>
        <v>35154</v>
      </c>
      <c r="C3008" s="1" t="str">
        <f>"DEAL"</f>
        <v>DEAL</v>
      </c>
      <c r="D3008" s="1" t="str">
        <f>"NJ"</f>
        <v>NJ</v>
      </c>
      <c r="E3008" s="2">
        <v>1</v>
      </c>
      <c r="F3008" s="2">
        <v>1</v>
      </c>
      <c r="G3008" s="2">
        <v>1</v>
      </c>
      <c r="H3008" s="2">
        <v>1</v>
      </c>
    </row>
    <row r="3009" spans="1:8" x14ac:dyDescent="0.25">
      <c r="A3009" s="1" t="str">
        <f>"10113"</f>
        <v>10113</v>
      </c>
      <c r="B3009" s="1" t="str">
        <f>"35614"</f>
        <v>35614</v>
      </c>
      <c r="C3009" s="1" t="str">
        <f>"NEW YORK"</f>
        <v>NEW YORK</v>
      </c>
      <c r="D3009" s="1" t="str">
        <f>"NY"</f>
        <v>NY</v>
      </c>
      <c r="E3009" s="2">
        <v>1</v>
      </c>
      <c r="F3009" s="2">
        <v>1</v>
      </c>
      <c r="G3009" s="2">
        <v>1</v>
      </c>
      <c r="H3009" s="2">
        <v>1</v>
      </c>
    </row>
    <row r="3010" spans="1:8" x14ac:dyDescent="0.25">
      <c r="A3010" s="1" t="str">
        <f>"10596"</f>
        <v>10596</v>
      </c>
      <c r="B3010" s="1" t="str">
        <f>"35614"</f>
        <v>35614</v>
      </c>
      <c r="C3010" s="1" t="str">
        <f>"VERPLANCK"</f>
        <v>VERPLANCK</v>
      </c>
      <c r="D3010" s="1" t="str">
        <f>"NY"</f>
        <v>NY</v>
      </c>
      <c r="E3010" s="2">
        <v>1</v>
      </c>
      <c r="F3010" s="2">
        <v>0</v>
      </c>
      <c r="G3010" s="2">
        <v>1</v>
      </c>
      <c r="H3010" s="2">
        <v>1</v>
      </c>
    </row>
    <row r="3011" spans="1:8" x14ac:dyDescent="0.25">
      <c r="A3011" s="1" t="str">
        <f>"94037"</f>
        <v>94037</v>
      </c>
      <c r="B3011" s="1" t="str">
        <f>"41884"</f>
        <v>41884</v>
      </c>
      <c r="C3011" s="1" t="str">
        <f>"MONTARA"</f>
        <v>MONTARA</v>
      </c>
      <c r="D3011" s="1" t="str">
        <f>"CA"</f>
        <v>CA</v>
      </c>
      <c r="E3011" s="2">
        <v>1</v>
      </c>
      <c r="F3011" s="2">
        <v>0</v>
      </c>
      <c r="G3011" s="2">
        <v>1</v>
      </c>
      <c r="H3011" s="2">
        <v>1</v>
      </c>
    </row>
    <row r="3012" spans="1:8" x14ac:dyDescent="0.25">
      <c r="A3012" s="1" t="str">
        <f>"02185"</f>
        <v>02185</v>
      </c>
      <c r="B3012" s="1" t="str">
        <f>"14454"</f>
        <v>14454</v>
      </c>
      <c r="C3012" s="1" t="str">
        <f>"BRAINTREE"</f>
        <v>BRAINTREE</v>
      </c>
      <c r="D3012" s="1" t="str">
        <f>"MA"</f>
        <v>MA</v>
      </c>
      <c r="E3012" s="2">
        <v>1</v>
      </c>
      <c r="F3012" s="2">
        <v>1</v>
      </c>
      <c r="G3012" s="2">
        <v>1</v>
      </c>
      <c r="H3012" s="2">
        <v>1</v>
      </c>
    </row>
    <row r="3013" spans="1:8" x14ac:dyDescent="0.25">
      <c r="A3013" s="1" t="str">
        <f>"33424"</f>
        <v>33424</v>
      </c>
      <c r="B3013" s="1" t="str">
        <f>"48424"</f>
        <v>48424</v>
      </c>
      <c r="C3013" s="1" t="str">
        <f>"BOYNTON BEACH"</f>
        <v>BOYNTON BEACH</v>
      </c>
      <c r="D3013" s="1" t="str">
        <f>"FL"</f>
        <v>FL</v>
      </c>
      <c r="E3013" s="2">
        <v>1</v>
      </c>
      <c r="F3013" s="2">
        <v>1</v>
      </c>
      <c r="G3013" s="2">
        <v>1</v>
      </c>
      <c r="H3013" s="2">
        <v>1</v>
      </c>
    </row>
    <row r="3014" spans="1:8" x14ac:dyDescent="0.25">
      <c r="A3014" s="1" t="str">
        <f>"02051"</f>
        <v>02051</v>
      </c>
      <c r="B3014" s="1" t="str">
        <f>"14454"</f>
        <v>14454</v>
      </c>
      <c r="C3014" s="1" t="str">
        <f>"MARSHFIELD HILLS"</f>
        <v>MARSHFIELD HILLS</v>
      </c>
      <c r="D3014" s="1" t="str">
        <f>"MA"</f>
        <v>MA</v>
      </c>
      <c r="E3014" s="2">
        <v>1</v>
      </c>
      <c r="F3014" s="2">
        <v>1</v>
      </c>
      <c r="G3014" s="2">
        <v>1</v>
      </c>
      <c r="H3014" s="2">
        <v>1</v>
      </c>
    </row>
    <row r="3015" spans="1:8" x14ac:dyDescent="0.25">
      <c r="A3015" s="1" t="str">
        <f>"02447"</f>
        <v>02447</v>
      </c>
      <c r="B3015" s="1" t="str">
        <f>"14454"</f>
        <v>14454</v>
      </c>
      <c r="C3015" s="1" t="str">
        <f>"BROOKLINE VILLAGE"</f>
        <v>BROOKLINE VILLAGE</v>
      </c>
      <c r="D3015" s="1" t="str">
        <f>"MA"</f>
        <v>MA</v>
      </c>
      <c r="E3015" s="2">
        <v>1</v>
      </c>
      <c r="F3015" s="2">
        <v>1</v>
      </c>
      <c r="G3015" s="2">
        <v>1</v>
      </c>
      <c r="H3015" s="2">
        <v>1</v>
      </c>
    </row>
    <row r="3016" spans="1:8" x14ac:dyDescent="0.25">
      <c r="A3016" s="1" t="str">
        <f>"76041"</f>
        <v>76041</v>
      </c>
      <c r="B3016" s="1" t="str">
        <f>"19124"</f>
        <v>19124</v>
      </c>
      <c r="C3016" s="1" t="str">
        <f>"FORRESTON"</f>
        <v>FORRESTON</v>
      </c>
      <c r="D3016" s="1" t="str">
        <f>"TX"</f>
        <v>TX</v>
      </c>
      <c r="E3016" s="2">
        <v>1</v>
      </c>
      <c r="F3016" s="2">
        <v>1</v>
      </c>
      <c r="G3016" s="2">
        <v>1</v>
      </c>
      <c r="H3016" s="2">
        <v>1</v>
      </c>
    </row>
    <row r="3017" spans="1:8" x14ac:dyDescent="0.25">
      <c r="A3017" s="1" t="str">
        <f>"92811"</f>
        <v>92811</v>
      </c>
      <c r="B3017" s="1" t="str">
        <f>"11244"</f>
        <v>11244</v>
      </c>
      <c r="C3017" s="1" t="str">
        <f>"ATWOOD"</f>
        <v>ATWOOD</v>
      </c>
      <c r="D3017" s="1" t="str">
        <f>"CA"</f>
        <v>CA</v>
      </c>
      <c r="E3017" s="2">
        <v>1</v>
      </c>
      <c r="F3017" s="2">
        <v>1</v>
      </c>
      <c r="G3017" s="2">
        <v>1</v>
      </c>
      <c r="H3017" s="2">
        <v>1</v>
      </c>
    </row>
    <row r="3018" spans="1:8" x14ac:dyDescent="0.25">
      <c r="A3018" s="1" t="str">
        <f>"18081"</f>
        <v>18081</v>
      </c>
      <c r="B3018" s="1" t="str">
        <f>"33874"</f>
        <v>33874</v>
      </c>
      <c r="C3018" s="1" t="str">
        <f>"SPRINGTOWN"</f>
        <v>SPRINGTOWN</v>
      </c>
      <c r="D3018" s="1" t="str">
        <f>"PA"</f>
        <v>PA</v>
      </c>
      <c r="E3018" s="2">
        <v>1</v>
      </c>
      <c r="F3018" s="2">
        <v>1</v>
      </c>
      <c r="G3018" s="2">
        <v>1</v>
      </c>
      <c r="H3018" s="2">
        <v>1</v>
      </c>
    </row>
    <row r="3019" spans="1:8" x14ac:dyDescent="0.25">
      <c r="A3019" s="1" t="str">
        <f>"94548"</f>
        <v>94548</v>
      </c>
      <c r="B3019" s="1" t="str">
        <f>"36084"</f>
        <v>36084</v>
      </c>
      <c r="C3019" s="1" t="str">
        <f>"KNIGHTSEN"</f>
        <v>KNIGHTSEN</v>
      </c>
      <c r="D3019" s="1" t="str">
        <f>"CA"</f>
        <v>CA</v>
      </c>
      <c r="E3019" s="2">
        <v>1</v>
      </c>
      <c r="F3019" s="2">
        <v>1</v>
      </c>
      <c r="G3019" s="2">
        <v>1</v>
      </c>
      <c r="H3019" s="2">
        <v>1</v>
      </c>
    </row>
    <row r="3020" spans="1:8" x14ac:dyDescent="0.25">
      <c r="A3020" s="1" t="str">
        <f>"20510"</f>
        <v>20510</v>
      </c>
      <c r="B3020" s="1" t="str">
        <f>"47894"</f>
        <v>47894</v>
      </c>
      <c r="C3020" s="1" t="str">
        <f>"WASHINGTON"</f>
        <v>WASHINGTON</v>
      </c>
      <c r="D3020" s="1" t="str">
        <f>"DC"</f>
        <v>DC</v>
      </c>
      <c r="E3020" s="2">
        <v>0</v>
      </c>
      <c r="F3020" s="2">
        <v>1</v>
      </c>
      <c r="G3020" s="2">
        <v>1</v>
      </c>
      <c r="H3020" s="2">
        <v>1</v>
      </c>
    </row>
    <row r="3021" spans="1:8" x14ac:dyDescent="0.25">
      <c r="A3021" s="1" t="str">
        <f>"07979"</f>
        <v>07979</v>
      </c>
      <c r="B3021" s="1" t="str">
        <f>"35084"</f>
        <v>35084</v>
      </c>
      <c r="C3021" s="1" t="str">
        <f>"POTTERSVILLE"</f>
        <v>POTTERSVILLE</v>
      </c>
      <c r="D3021" s="1" t="str">
        <f>"NJ"</f>
        <v>NJ</v>
      </c>
      <c r="E3021" s="2">
        <v>0</v>
      </c>
      <c r="F3021" s="2">
        <v>1</v>
      </c>
      <c r="G3021" s="2">
        <v>1</v>
      </c>
      <c r="H3021" s="2">
        <v>1</v>
      </c>
    </row>
    <row r="3022" spans="1:8" x14ac:dyDescent="0.25">
      <c r="A3022" s="1" t="str">
        <f>"60689"</f>
        <v>60689</v>
      </c>
      <c r="B3022" s="1" t="str">
        <f>"16984"</f>
        <v>16984</v>
      </c>
      <c r="C3022" s="1" t="str">
        <f>"CHICAGO"</f>
        <v>CHICAGO</v>
      </c>
      <c r="D3022" s="1" t="str">
        <f>"IL"</f>
        <v>IL</v>
      </c>
      <c r="E3022" s="2">
        <v>0</v>
      </c>
      <c r="F3022" s="2">
        <v>1</v>
      </c>
      <c r="G3022" s="2">
        <v>1</v>
      </c>
      <c r="H3022" s="2">
        <v>1</v>
      </c>
    </row>
    <row r="3023" spans="1:8" x14ac:dyDescent="0.25">
      <c r="A3023" s="1" t="str">
        <f>"20547"</f>
        <v>20547</v>
      </c>
      <c r="B3023" s="1" t="str">
        <f>"47894"</f>
        <v>47894</v>
      </c>
      <c r="C3023" s="1" t="str">
        <f>"WASHINGTON"</f>
        <v>WASHINGTON</v>
      </c>
      <c r="D3023" s="1" t="str">
        <f>"DC"</f>
        <v>DC</v>
      </c>
      <c r="E3023" s="2">
        <v>0</v>
      </c>
      <c r="F3023" s="2">
        <v>1</v>
      </c>
      <c r="G3023" s="2">
        <v>0</v>
      </c>
      <c r="H3023" s="2">
        <v>1</v>
      </c>
    </row>
    <row r="3024" spans="1:8" x14ac:dyDescent="0.25">
      <c r="A3024" s="1" t="str">
        <f>"10160"</f>
        <v>10160</v>
      </c>
      <c r="B3024" s="1" t="str">
        <f>"35614"</f>
        <v>35614</v>
      </c>
      <c r="C3024" s="1" t="str">
        <f>"NEW YORK"</f>
        <v>NEW YORK</v>
      </c>
      <c r="D3024" s="1" t="str">
        <f>"NY"</f>
        <v>NY</v>
      </c>
      <c r="E3024" s="2">
        <v>0</v>
      </c>
      <c r="F3024" s="2">
        <v>0</v>
      </c>
      <c r="G3024" s="2">
        <v>1</v>
      </c>
      <c r="H3024" s="2">
        <v>1</v>
      </c>
    </row>
    <row r="3025" spans="1:8" x14ac:dyDescent="0.25">
      <c r="A3025" s="1" t="str">
        <f>"60551"</f>
        <v>60551</v>
      </c>
      <c r="B3025" s="1" t="str">
        <f>"20994"</f>
        <v>20994</v>
      </c>
      <c r="C3025" s="1" t="str">
        <f>"SHERIDAN"</f>
        <v>SHERIDAN</v>
      </c>
      <c r="D3025" s="1" t="str">
        <f>"IL"</f>
        <v>IL</v>
      </c>
      <c r="E3025" s="2">
        <v>1</v>
      </c>
      <c r="F3025" s="2">
        <v>0</v>
      </c>
      <c r="G3025" s="2">
        <v>0</v>
      </c>
      <c r="H3025" s="2">
        <v>1</v>
      </c>
    </row>
    <row r="3026" spans="1:8" x14ac:dyDescent="0.25">
      <c r="A3026" s="1" t="str">
        <f>"21775"</f>
        <v>21775</v>
      </c>
      <c r="B3026" s="1" t="str">
        <f>"23224"</f>
        <v>23224</v>
      </c>
      <c r="C3026" s="1" t="str">
        <f>"NEW MIDWAY"</f>
        <v>NEW MIDWAY</v>
      </c>
      <c r="D3026" s="1" t="str">
        <f>"MD"</f>
        <v>MD</v>
      </c>
      <c r="E3026" s="2">
        <v>0</v>
      </c>
      <c r="F3026" s="2">
        <v>1</v>
      </c>
      <c r="G3026" s="2">
        <v>0</v>
      </c>
      <c r="H3026" s="2">
        <v>1</v>
      </c>
    </row>
    <row r="3027" spans="1:8" x14ac:dyDescent="0.25">
      <c r="A3027" s="1" t="str">
        <f>"20224"</f>
        <v>20224</v>
      </c>
      <c r="B3027" s="1" t="str">
        <f>"47894"</f>
        <v>47894</v>
      </c>
      <c r="C3027" s="1" t="str">
        <f>"WASHINGTON"</f>
        <v>WASHINGTON</v>
      </c>
      <c r="D3027" s="1" t="str">
        <f>"DC"</f>
        <v>DC</v>
      </c>
      <c r="E3027" s="2">
        <v>0</v>
      </c>
      <c r="F3027" s="2">
        <v>1</v>
      </c>
      <c r="G3027" s="2">
        <v>0</v>
      </c>
      <c r="H3027" s="2">
        <v>1</v>
      </c>
    </row>
    <row r="3028" spans="1:8" x14ac:dyDescent="0.25">
      <c r="A3028" s="1" t="str">
        <f>"90099"</f>
        <v>90099</v>
      </c>
      <c r="B3028" s="1" t="str">
        <f>"31084"</f>
        <v>31084</v>
      </c>
      <c r="C3028" s="1" t="str">
        <f>"LOS ANGELES"</f>
        <v>LOS ANGELES</v>
      </c>
      <c r="D3028" s="1" t="str">
        <f>"CA"</f>
        <v>CA</v>
      </c>
      <c r="E3028" s="2">
        <v>0</v>
      </c>
      <c r="F3028" s="2">
        <v>0</v>
      </c>
      <c r="G3028" s="2">
        <v>1</v>
      </c>
      <c r="H3028" s="2">
        <v>1</v>
      </c>
    </row>
    <row r="3029" spans="1:8" x14ac:dyDescent="0.25">
      <c r="A3029" s="1" t="str">
        <f>"20447"</f>
        <v>20447</v>
      </c>
      <c r="B3029" s="1" t="str">
        <f>"47894"</f>
        <v>47894</v>
      </c>
      <c r="C3029" s="1" t="str">
        <f>"WASHINGTON"</f>
        <v>WASHINGTON</v>
      </c>
      <c r="D3029" s="1" t="str">
        <f>"DC"</f>
        <v>DC</v>
      </c>
      <c r="E3029" s="2">
        <v>0</v>
      </c>
      <c r="F3029" s="2">
        <v>1</v>
      </c>
      <c r="G3029" s="2">
        <v>0</v>
      </c>
      <c r="H3029" s="2">
        <v>1</v>
      </c>
    </row>
    <row r="3030" spans="1:8" x14ac:dyDescent="0.25">
      <c r="A3030" s="1" t="str">
        <f>"75164"</f>
        <v>75164</v>
      </c>
      <c r="B3030" s="1" t="str">
        <f>"19124"</f>
        <v>19124</v>
      </c>
      <c r="C3030" s="1" t="str">
        <f>"JOSEPHINE"</f>
        <v>JOSEPHINE</v>
      </c>
      <c r="D3030" s="1" t="str">
        <f>"TX"</f>
        <v>TX</v>
      </c>
      <c r="E3030" s="2">
        <v>0</v>
      </c>
      <c r="F3030" s="2">
        <v>1</v>
      </c>
      <c r="G3030" s="2">
        <v>0</v>
      </c>
      <c r="H3030" s="2">
        <v>1</v>
      </c>
    </row>
    <row r="3031" spans="1:8" x14ac:dyDescent="0.25">
      <c r="A3031" s="1" t="str">
        <f>"02070"</f>
        <v>02070</v>
      </c>
      <c r="B3031" s="1" t="str">
        <f>"14454"</f>
        <v>14454</v>
      </c>
      <c r="C3031" s="1" t="str">
        <f>"SHELDONVILLE"</f>
        <v>SHELDONVILLE</v>
      </c>
      <c r="D3031" s="1" t="str">
        <f>"MA"</f>
        <v>MA</v>
      </c>
      <c r="E3031" s="2">
        <v>0</v>
      </c>
      <c r="F3031" s="2">
        <v>0</v>
      </c>
      <c r="G3031" s="2">
        <v>1</v>
      </c>
      <c r="H3031" s="2">
        <v>1</v>
      </c>
    </row>
    <row r="3032" spans="1:8" x14ac:dyDescent="0.25">
      <c r="A3032" s="1" t="str">
        <f>"98131"</f>
        <v>98131</v>
      </c>
      <c r="B3032" s="1" t="str">
        <f>"42644"</f>
        <v>42644</v>
      </c>
      <c r="C3032" s="1" t="str">
        <f>"SEATTLE"</f>
        <v>SEATTLE</v>
      </c>
      <c r="D3032" s="1" t="str">
        <f>"WA"</f>
        <v>WA</v>
      </c>
      <c r="E3032" s="2">
        <v>0</v>
      </c>
      <c r="F3032" s="2">
        <v>1</v>
      </c>
      <c r="G3032" s="2">
        <v>1</v>
      </c>
      <c r="H3032" s="2">
        <v>1</v>
      </c>
    </row>
    <row r="3033" spans="1:8" x14ac:dyDescent="0.25">
      <c r="A3033" s="1" t="str">
        <f>"76439"</f>
        <v>76439</v>
      </c>
      <c r="B3033" s="1" t="str">
        <f>"23104"</f>
        <v>23104</v>
      </c>
      <c r="C3033" s="1" t="str">
        <f>"DENNIS"</f>
        <v>DENNIS</v>
      </c>
      <c r="D3033" s="1" t="str">
        <f>"TX"</f>
        <v>TX</v>
      </c>
      <c r="E3033" s="2">
        <v>0</v>
      </c>
      <c r="F3033" s="2">
        <v>0</v>
      </c>
      <c r="G3033" s="2">
        <v>1</v>
      </c>
      <c r="H3033" s="2">
        <v>1</v>
      </c>
    </row>
    <row r="3034" spans="1:8" x14ac:dyDescent="0.25">
      <c r="A3034" s="1" t="str">
        <f>"60553"</f>
        <v>60553</v>
      </c>
      <c r="B3034" s="1" t="str">
        <f>"20994"</f>
        <v>20994</v>
      </c>
      <c r="C3034" s="1" t="str">
        <f>"STEWARD"</f>
        <v>STEWARD</v>
      </c>
      <c r="D3034" s="1" t="str">
        <f>"IL"</f>
        <v>IL</v>
      </c>
      <c r="E3034" s="2">
        <v>1</v>
      </c>
      <c r="F3034" s="2">
        <v>0</v>
      </c>
      <c r="G3034" s="2">
        <v>0</v>
      </c>
      <c r="H3034" s="2">
        <v>1</v>
      </c>
    </row>
    <row r="3035" spans="1:8" x14ac:dyDescent="0.25">
      <c r="A3035" s="1" t="str">
        <f>"20526"</f>
        <v>20526</v>
      </c>
      <c r="B3035" s="1" t="str">
        <f>"47894"</f>
        <v>47894</v>
      </c>
      <c r="C3035" s="1" t="str">
        <f>"WASHINGTON"</f>
        <v>WASHINGTON</v>
      </c>
      <c r="D3035" s="1" t="str">
        <f>"DC"</f>
        <v>DC</v>
      </c>
      <c r="E3035" s="2">
        <v>0</v>
      </c>
      <c r="F3035" s="2">
        <v>1</v>
      </c>
      <c r="G3035" s="2">
        <v>0</v>
      </c>
      <c r="H3035" s="2">
        <v>1</v>
      </c>
    </row>
    <row r="3036" spans="1:8" x14ac:dyDescent="0.25">
      <c r="A3036" s="1" t="str">
        <f>"20245"</f>
        <v>20245</v>
      </c>
      <c r="B3036" s="1" t="str">
        <f>"47894"</f>
        <v>47894</v>
      </c>
      <c r="C3036" s="1" t="str">
        <f>"WASHINGTON"</f>
        <v>WASHINGTON</v>
      </c>
      <c r="D3036" s="1" t="str">
        <f>"DC"</f>
        <v>DC</v>
      </c>
      <c r="E3036" s="2">
        <v>0</v>
      </c>
      <c r="F3036" s="2">
        <v>1</v>
      </c>
      <c r="G3036" s="2">
        <v>0</v>
      </c>
      <c r="H3036" s="2">
        <v>1</v>
      </c>
    </row>
    <row r="3037" spans="1:8" x14ac:dyDescent="0.25">
      <c r="A3037" s="1" t="str">
        <f>"60179"</f>
        <v>60179</v>
      </c>
      <c r="B3037" s="1" t="str">
        <f>"16984"</f>
        <v>16984</v>
      </c>
      <c r="C3037" s="1" t="str">
        <f>"HOFFMAN ESTATES"</f>
        <v>HOFFMAN ESTATES</v>
      </c>
      <c r="D3037" s="1" t="str">
        <f>"IL"</f>
        <v>IL</v>
      </c>
      <c r="E3037" s="2">
        <v>0</v>
      </c>
      <c r="F3037" s="2">
        <v>1</v>
      </c>
      <c r="G3037" s="2">
        <v>0</v>
      </c>
      <c r="H3037" s="2">
        <v>1</v>
      </c>
    </row>
    <row r="3038" spans="1:8" x14ac:dyDescent="0.25">
      <c r="A3038" s="1" t="str">
        <f>"20425"</f>
        <v>20425</v>
      </c>
      <c r="B3038" s="1" t="str">
        <f>"47894"</f>
        <v>47894</v>
      </c>
      <c r="C3038" s="1" t="str">
        <f>"WASHINGTON"</f>
        <v>WASHINGTON</v>
      </c>
      <c r="D3038" s="1" t="str">
        <f>"DC"</f>
        <v>DC</v>
      </c>
      <c r="E3038" s="2">
        <v>0</v>
      </c>
      <c r="F3038" s="2">
        <v>1</v>
      </c>
      <c r="G3038" s="2">
        <v>0</v>
      </c>
      <c r="H3038" s="2">
        <v>1</v>
      </c>
    </row>
    <row r="3039" spans="1:8" x14ac:dyDescent="0.25">
      <c r="A3039" s="1" t="str">
        <f>"20422"</f>
        <v>20422</v>
      </c>
      <c r="B3039" s="1" t="str">
        <f>"47894"</f>
        <v>47894</v>
      </c>
      <c r="C3039" s="1" t="str">
        <f>"WASHINGTON"</f>
        <v>WASHINGTON</v>
      </c>
      <c r="D3039" s="1" t="str">
        <f>"DC"</f>
        <v>DC</v>
      </c>
      <c r="E3039" s="2">
        <v>0</v>
      </c>
      <c r="F3039" s="2">
        <v>1</v>
      </c>
      <c r="G3039" s="2">
        <v>0</v>
      </c>
      <c r="H3039" s="2">
        <v>1</v>
      </c>
    </row>
    <row r="3040" spans="1:8" x14ac:dyDescent="0.25">
      <c r="A3040" s="1" t="str">
        <f>"98207"</f>
        <v>98207</v>
      </c>
      <c r="B3040" s="1" t="str">
        <f>"42644"</f>
        <v>42644</v>
      </c>
      <c r="C3040" s="1" t="str">
        <f>"EVERETT"</f>
        <v>EVERETT</v>
      </c>
      <c r="D3040" s="1" t="str">
        <f>"WA"</f>
        <v>WA</v>
      </c>
      <c r="E3040" s="2">
        <v>0</v>
      </c>
      <c r="F3040" s="2">
        <v>1</v>
      </c>
      <c r="G3040" s="2">
        <v>0</v>
      </c>
      <c r="H3040" s="2">
        <v>1</v>
      </c>
    </row>
    <row r="3041" spans="1:8" x14ac:dyDescent="0.25">
      <c r="A3041" s="1" t="str">
        <f>"98397"</f>
        <v>98397</v>
      </c>
      <c r="B3041" s="1" t="str">
        <f>"45104"</f>
        <v>45104</v>
      </c>
      <c r="C3041" s="1" t="str">
        <f>"LONGMIRE"</f>
        <v>LONGMIRE</v>
      </c>
      <c r="D3041" s="1" t="str">
        <f>"WA"</f>
        <v>WA</v>
      </c>
      <c r="E3041" s="2">
        <v>0</v>
      </c>
      <c r="F3041" s="2">
        <v>1</v>
      </c>
      <c r="G3041" s="2">
        <v>0</v>
      </c>
      <c r="H3041" s="2">
        <v>1</v>
      </c>
    </row>
    <row r="3042" spans="1:8" x14ac:dyDescent="0.25">
      <c r="A3042" s="1" t="str">
        <f>"20049"</f>
        <v>20049</v>
      </c>
      <c r="B3042" s="1" t="str">
        <f>"47894"</f>
        <v>47894</v>
      </c>
      <c r="C3042" s="1" t="str">
        <f>"WASHINGTON"</f>
        <v>WASHINGTON</v>
      </c>
      <c r="D3042" s="1" t="str">
        <f>"DC"</f>
        <v>DC</v>
      </c>
      <c r="E3042" s="2">
        <v>0</v>
      </c>
      <c r="F3042" s="2">
        <v>1</v>
      </c>
      <c r="G3042" s="2">
        <v>0</v>
      </c>
      <c r="H3042" s="2">
        <v>1</v>
      </c>
    </row>
    <row r="3043" spans="1:8" x14ac:dyDescent="0.25">
      <c r="A3043" s="1" t="str">
        <f>"01460"</f>
        <v>01460</v>
      </c>
      <c r="B3043" s="1" t="str">
        <f>"15764"</f>
        <v>15764</v>
      </c>
      <c r="C3043" s="1" t="str">
        <f>"LITTLETON"</f>
        <v>LITTLETON</v>
      </c>
      <c r="D3043" s="1" t="str">
        <f t="shared" ref="D3043:D3050" si="221">"MA"</f>
        <v>MA</v>
      </c>
      <c r="E3043" s="2">
        <v>1</v>
      </c>
      <c r="F3043" s="2">
        <v>1</v>
      </c>
      <c r="G3043" s="2">
        <v>1</v>
      </c>
      <c r="H3043" s="2">
        <v>1</v>
      </c>
    </row>
    <row r="3044" spans="1:8" x14ac:dyDescent="0.25">
      <c r="A3044" s="1" t="str">
        <f>"01770"</f>
        <v>01770</v>
      </c>
      <c r="B3044" s="1" t="str">
        <f>"15764"</f>
        <v>15764</v>
      </c>
      <c r="C3044" s="1" t="str">
        <f>"SHERBORN"</f>
        <v>SHERBORN</v>
      </c>
      <c r="D3044" s="1" t="str">
        <f t="shared" si="221"/>
        <v>MA</v>
      </c>
      <c r="E3044" s="2">
        <v>1</v>
      </c>
      <c r="F3044" s="2">
        <v>1</v>
      </c>
      <c r="G3044" s="2">
        <v>1</v>
      </c>
      <c r="H3044" s="2">
        <v>1</v>
      </c>
    </row>
    <row r="3045" spans="1:8" x14ac:dyDescent="0.25">
      <c r="A3045" s="1" t="str">
        <f>"01960"</f>
        <v>01960</v>
      </c>
      <c r="B3045" s="1" t="str">
        <f>"15764"</f>
        <v>15764</v>
      </c>
      <c r="C3045" s="1" t="str">
        <f>"PEABODY"</f>
        <v>PEABODY</v>
      </c>
      <c r="D3045" s="1" t="str">
        <f t="shared" si="221"/>
        <v>MA</v>
      </c>
      <c r="E3045" s="2">
        <v>1</v>
      </c>
      <c r="F3045" s="2">
        <v>1</v>
      </c>
      <c r="G3045" s="2">
        <v>1</v>
      </c>
      <c r="H3045" s="2">
        <v>1</v>
      </c>
    </row>
    <row r="3046" spans="1:8" x14ac:dyDescent="0.25">
      <c r="A3046" s="1" t="str">
        <f>"02045"</f>
        <v>02045</v>
      </c>
      <c r="B3046" s="1" t="str">
        <f>"14454"</f>
        <v>14454</v>
      </c>
      <c r="C3046" s="1" t="str">
        <f>"HULL"</f>
        <v>HULL</v>
      </c>
      <c r="D3046" s="1" t="str">
        <f t="shared" si="221"/>
        <v>MA</v>
      </c>
      <c r="E3046" s="2">
        <v>1</v>
      </c>
      <c r="F3046" s="2">
        <v>1</v>
      </c>
      <c r="G3046" s="2">
        <v>1</v>
      </c>
      <c r="H3046" s="2">
        <v>1</v>
      </c>
    </row>
    <row r="3047" spans="1:8" x14ac:dyDescent="0.25">
      <c r="A3047" s="1" t="str">
        <f>"02144"</f>
        <v>02144</v>
      </c>
      <c r="B3047" s="1" t="str">
        <f>"15764"</f>
        <v>15764</v>
      </c>
      <c r="C3047" s="1" t="str">
        <f>"SOMERVILLE"</f>
        <v>SOMERVILLE</v>
      </c>
      <c r="D3047" s="1" t="str">
        <f t="shared" si="221"/>
        <v>MA</v>
      </c>
      <c r="E3047" s="2">
        <v>1</v>
      </c>
      <c r="F3047" s="2">
        <v>1</v>
      </c>
      <c r="G3047" s="2">
        <v>1</v>
      </c>
      <c r="H3047" s="2">
        <v>1</v>
      </c>
    </row>
    <row r="3048" spans="1:8" x14ac:dyDescent="0.25">
      <c r="A3048" s="1" t="str">
        <f>"02155"</f>
        <v>02155</v>
      </c>
      <c r="B3048" s="1" t="str">
        <f>"15764"</f>
        <v>15764</v>
      </c>
      <c r="C3048" s="1" t="str">
        <f>"MEDFORD"</f>
        <v>MEDFORD</v>
      </c>
      <c r="D3048" s="1" t="str">
        <f t="shared" si="221"/>
        <v>MA</v>
      </c>
      <c r="E3048" s="2">
        <v>1</v>
      </c>
      <c r="F3048" s="2">
        <v>1</v>
      </c>
      <c r="G3048" s="2">
        <v>1</v>
      </c>
      <c r="H3048" s="2">
        <v>1</v>
      </c>
    </row>
    <row r="3049" spans="1:8" x14ac:dyDescent="0.25">
      <c r="A3049" s="1" t="str">
        <f>"02186"</f>
        <v>02186</v>
      </c>
      <c r="B3049" s="1" t="str">
        <f>"14454"</f>
        <v>14454</v>
      </c>
      <c r="C3049" s="1" t="str">
        <f>"MILTON"</f>
        <v>MILTON</v>
      </c>
      <c r="D3049" s="1" t="str">
        <f t="shared" si="221"/>
        <v>MA</v>
      </c>
      <c r="E3049" s="2">
        <v>1</v>
      </c>
      <c r="F3049" s="2">
        <v>1</v>
      </c>
      <c r="G3049" s="2">
        <v>1</v>
      </c>
      <c r="H3049" s="2">
        <v>1</v>
      </c>
    </row>
    <row r="3050" spans="1:8" x14ac:dyDescent="0.25">
      <c r="A3050" s="1" t="str">
        <f>"02459"</f>
        <v>02459</v>
      </c>
      <c r="B3050" s="1" t="str">
        <f>"15764"</f>
        <v>15764</v>
      </c>
      <c r="C3050" s="1" t="str">
        <f>"NEWTON CENTER"</f>
        <v>NEWTON CENTER</v>
      </c>
      <c r="D3050" s="1" t="str">
        <f t="shared" si="221"/>
        <v>MA</v>
      </c>
      <c r="E3050" s="2">
        <v>1</v>
      </c>
      <c r="F3050" s="2">
        <v>1</v>
      </c>
      <c r="G3050" s="2">
        <v>1</v>
      </c>
      <c r="H3050" s="2">
        <v>1</v>
      </c>
    </row>
    <row r="3051" spans="1:8" x14ac:dyDescent="0.25">
      <c r="A3051" s="1" t="str">
        <f>"03833"</f>
        <v>03833</v>
      </c>
      <c r="B3051" s="1" t="str">
        <f>"40484"</f>
        <v>40484</v>
      </c>
      <c r="C3051" s="1" t="str">
        <f>"EXETER"</f>
        <v>EXETER</v>
      </c>
      <c r="D3051" s="1" t="str">
        <f>"NH"</f>
        <v>NH</v>
      </c>
      <c r="E3051" s="2">
        <v>1</v>
      </c>
      <c r="F3051" s="2">
        <v>1</v>
      </c>
      <c r="G3051" s="2">
        <v>1</v>
      </c>
      <c r="H3051" s="2">
        <v>1</v>
      </c>
    </row>
    <row r="3052" spans="1:8" x14ac:dyDescent="0.25">
      <c r="A3052" s="1" t="str">
        <f>"03856"</f>
        <v>03856</v>
      </c>
      <c r="B3052" s="1" t="str">
        <f>"40484"</f>
        <v>40484</v>
      </c>
      <c r="C3052" s="1" t="str">
        <f>"NEWFIELDS"</f>
        <v>NEWFIELDS</v>
      </c>
      <c r="D3052" s="1" t="str">
        <f>"NH"</f>
        <v>NH</v>
      </c>
      <c r="E3052" s="2">
        <v>1</v>
      </c>
      <c r="F3052" s="2">
        <v>1</v>
      </c>
      <c r="G3052" s="2">
        <v>1</v>
      </c>
      <c r="H3052" s="2">
        <v>1</v>
      </c>
    </row>
    <row r="3053" spans="1:8" x14ac:dyDescent="0.25">
      <c r="A3053" s="1" t="str">
        <f>"03870"</f>
        <v>03870</v>
      </c>
      <c r="B3053" s="1" t="str">
        <f>"40484"</f>
        <v>40484</v>
      </c>
      <c r="C3053" s="1" t="str">
        <f>"RYE"</f>
        <v>RYE</v>
      </c>
      <c r="D3053" s="1" t="str">
        <f>"NH"</f>
        <v>NH</v>
      </c>
      <c r="E3053" s="2">
        <v>1</v>
      </c>
      <c r="F3053" s="2">
        <v>1</v>
      </c>
      <c r="G3053" s="2">
        <v>1</v>
      </c>
      <c r="H3053" s="2">
        <v>1</v>
      </c>
    </row>
    <row r="3054" spans="1:8" x14ac:dyDescent="0.25">
      <c r="A3054" s="1" t="str">
        <f>"07005"</f>
        <v>07005</v>
      </c>
      <c r="B3054" s="1" t="str">
        <f>"35084"</f>
        <v>35084</v>
      </c>
      <c r="C3054" s="1" t="str">
        <f>"BOONTON"</f>
        <v>BOONTON</v>
      </c>
      <c r="D3054" s="1" t="str">
        <f t="shared" ref="D3054:D3068" si="222">"NJ"</f>
        <v>NJ</v>
      </c>
      <c r="E3054" s="2">
        <v>1</v>
      </c>
      <c r="F3054" s="2">
        <v>1</v>
      </c>
      <c r="G3054" s="2">
        <v>1</v>
      </c>
      <c r="H3054" s="2">
        <v>1</v>
      </c>
    </row>
    <row r="3055" spans="1:8" x14ac:dyDescent="0.25">
      <c r="A3055" s="1" t="str">
        <f>"07003"</f>
        <v>07003</v>
      </c>
      <c r="B3055" s="1" t="str">
        <f>"35084"</f>
        <v>35084</v>
      </c>
      <c r="C3055" s="1" t="str">
        <f>"BLOOMFIELD"</f>
        <v>BLOOMFIELD</v>
      </c>
      <c r="D3055" s="1" t="str">
        <f t="shared" si="222"/>
        <v>NJ</v>
      </c>
      <c r="E3055" s="2">
        <v>1</v>
      </c>
      <c r="F3055" s="2">
        <v>1</v>
      </c>
      <c r="G3055" s="2">
        <v>1</v>
      </c>
      <c r="H3055" s="2">
        <v>1</v>
      </c>
    </row>
    <row r="3056" spans="1:8" x14ac:dyDescent="0.25">
      <c r="A3056" s="1" t="str">
        <f>"07040"</f>
        <v>07040</v>
      </c>
      <c r="B3056" s="1" t="str">
        <f>"35084"</f>
        <v>35084</v>
      </c>
      <c r="C3056" s="1" t="str">
        <f>"MAPLEWOOD"</f>
        <v>MAPLEWOOD</v>
      </c>
      <c r="D3056" s="1" t="str">
        <f t="shared" si="222"/>
        <v>NJ</v>
      </c>
      <c r="E3056" s="2">
        <v>1</v>
      </c>
      <c r="F3056" s="2">
        <v>1</v>
      </c>
      <c r="G3056" s="2">
        <v>1</v>
      </c>
      <c r="H3056" s="2">
        <v>1</v>
      </c>
    </row>
    <row r="3057" spans="1:8" x14ac:dyDescent="0.25">
      <c r="A3057" s="1" t="str">
        <f>"07075"</f>
        <v>07075</v>
      </c>
      <c r="B3057" s="1" t="str">
        <f t="shared" ref="B3057:B3062" si="223">"35614"</f>
        <v>35614</v>
      </c>
      <c r="C3057" s="1" t="str">
        <f>"WOOD RIDGE"</f>
        <v>WOOD RIDGE</v>
      </c>
      <c r="D3057" s="1" t="str">
        <f t="shared" si="222"/>
        <v>NJ</v>
      </c>
      <c r="E3057" s="2">
        <v>1</v>
      </c>
      <c r="F3057" s="2">
        <v>1</v>
      </c>
      <c r="G3057" s="2">
        <v>1</v>
      </c>
      <c r="H3057" s="2">
        <v>1</v>
      </c>
    </row>
    <row r="3058" spans="1:8" x14ac:dyDescent="0.25">
      <c r="A3058" s="1" t="str">
        <f>"07307"</f>
        <v>07307</v>
      </c>
      <c r="B3058" s="1" t="str">
        <f t="shared" si="223"/>
        <v>35614</v>
      </c>
      <c r="C3058" s="1" t="str">
        <f>"JERSEY CITY"</f>
        <v>JERSEY CITY</v>
      </c>
      <c r="D3058" s="1" t="str">
        <f t="shared" si="222"/>
        <v>NJ</v>
      </c>
      <c r="E3058" s="2">
        <v>1</v>
      </c>
      <c r="F3058" s="2">
        <v>1</v>
      </c>
      <c r="G3058" s="2">
        <v>1</v>
      </c>
      <c r="H3058" s="2">
        <v>1</v>
      </c>
    </row>
    <row r="3059" spans="1:8" x14ac:dyDescent="0.25">
      <c r="A3059" s="1" t="str">
        <f>"07452"</f>
        <v>07452</v>
      </c>
      <c r="B3059" s="1" t="str">
        <f t="shared" si="223"/>
        <v>35614</v>
      </c>
      <c r="C3059" s="1" t="str">
        <f>"GLEN ROCK"</f>
        <v>GLEN ROCK</v>
      </c>
      <c r="D3059" s="1" t="str">
        <f t="shared" si="222"/>
        <v>NJ</v>
      </c>
      <c r="E3059" s="2">
        <v>1</v>
      </c>
      <c r="F3059" s="2">
        <v>1</v>
      </c>
      <c r="G3059" s="2">
        <v>1</v>
      </c>
      <c r="H3059" s="2">
        <v>1</v>
      </c>
    </row>
    <row r="3060" spans="1:8" x14ac:dyDescent="0.25">
      <c r="A3060" s="1" t="str">
        <f>"07506"</f>
        <v>07506</v>
      </c>
      <c r="B3060" s="1" t="str">
        <f t="shared" si="223"/>
        <v>35614</v>
      </c>
      <c r="C3060" s="1" t="str">
        <f>"HAWTHORNE"</f>
        <v>HAWTHORNE</v>
      </c>
      <c r="D3060" s="1" t="str">
        <f t="shared" si="222"/>
        <v>NJ</v>
      </c>
      <c r="E3060" s="2">
        <v>1</v>
      </c>
      <c r="F3060" s="2">
        <v>1</v>
      </c>
      <c r="G3060" s="2">
        <v>1</v>
      </c>
      <c r="H3060" s="2">
        <v>1</v>
      </c>
    </row>
    <row r="3061" spans="1:8" x14ac:dyDescent="0.25">
      <c r="A3061" s="1" t="str">
        <f>"07603"</f>
        <v>07603</v>
      </c>
      <c r="B3061" s="1" t="str">
        <f t="shared" si="223"/>
        <v>35614</v>
      </c>
      <c r="C3061" s="1" t="str">
        <f>"BOGOTA"</f>
        <v>BOGOTA</v>
      </c>
      <c r="D3061" s="1" t="str">
        <f t="shared" si="222"/>
        <v>NJ</v>
      </c>
      <c r="E3061" s="2">
        <v>1</v>
      </c>
      <c r="F3061" s="2">
        <v>1</v>
      </c>
      <c r="G3061" s="2">
        <v>1</v>
      </c>
      <c r="H3061" s="2">
        <v>1</v>
      </c>
    </row>
    <row r="3062" spans="1:8" x14ac:dyDescent="0.25">
      <c r="A3062" s="1" t="str">
        <f>"07624"</f>
        <v>07624</v>
      </c>
      <c r="B3062" s="1" t="str">
        <f t="shared" si="223"/>
        <v>35614</v>
      </c>
      <c r="C3062" s="1" t="str">
        <f>"CLOSTER"</f>
        <v>CLOSTER</v>
      </c>
      <c r="D3062" s="1" t="str">
        <f t="shared" si="222"/>
        <v>NJ</v>
      </c>
      <c r="E3062" s="2">
        <v>1</v>
      </c>
      <c r="F3062" s="2">
        <v>1</v>
      </c>
      <c r="G3062" s="2">
        <v>1</v>
      </c>
      <c r="H3062" s="2">
        <v>1</v>
      </c>
    </row>
    <row r="3063" spans="1:8" x14ac:dyDescent="0.25">
      <c r="A3063" s="1" t="str">
        <f>"07721"</f>
        <v>07721</v>
      </c>
      <c r="B3063" s="1" t="str">
        <f>"35154"</f>
        <v>35154</v>
      </c>
      <c r="C3063" s="1" t="str">
        <f>"CLIFFWOOD"</f>
        <v>CLIFFWOOD</v>
      </c>
      <c r="D3063" s="1" t="str">
        <f t="shared" si="222"/>
        <v>NJ</v>
      </c>
      <c r="E3063" s="2">
        <v>1</v>
      </c>
      <c r="F3063" s="2">
        <v>1</v>
      </c>
      <c r="G3063" s="2">
        <v>1</v>
      </c>
      <c r="H3063" s="2">
        <v>1</v>
      </c>
    </row>
    <row r="3064" spans="1:8" x14ac:dyDescent="0.25">
      <c r="A3064" s="1" t="str">
        <f>"07756"</f>
        <v>07756</v>
      </c>
      <c r="B3064" s="1" t="str">
        <f>"35154"</f>
        <v>35154</v>
      </c>
      <c r="C3064" s="1" t="str">
        <f>"OCEAN GROVE"</f>
        <v>OCEAN GROVE</v>
      </c>
      <c r="D3064" s="1" t="str">
        <f t="shared" si="222"/>
        <v>NJ</v>
      </c>
      <c r="E3064" s="2">
        <v>1</v>
      </c>
      <c r="F3064" s="2">
        <v>1</v>
      </c>
      <c r="G3064" s="2">
        <v>1</v>
      </c>
      <c r="H3064" s="2">
        <v>1</v>
      </c>
    </row>
    <row r="3065" spans="1:8" x14ac:dyDescent="0.25">
      <c r="A3065" s="1" t="str">
        <f>"08078"</f>
        <v>08078</v>
      </c>
      <c r="B3065" s="1" t="str">
        <f>"15804"</f>
        <v>15804</v>
      </c>
      <c r="C3065" s="1" t="str">
        <f>"RUNNEMEDE"</f>
        <v>RUNNEMEDE</v>
      </c>
      <c r="D3065" s="1" t="str">
        <f t="shared" si="222"/>
        <v>NJ</v>
      </c>
      <c r="E3065" s="2">
        <v>1</v>
      </c>
      <c r="F3065" s="2">
        <v>1</v>
      </c>
      <c r="G3065" s="2">
        <v>1</v>
      </c>
      <c r="H3065" s="2">
        <v>1</v>
      </c>
    </row>
    <row r="3066" spans="1:8" x14ac:dyDescent="0.25">
      <c r="A3066" s="1" t="str">
        <f>"08551"</f>
        <v>08551</v>
      </c>
      <c r="B3066" s="1" t="str">
        <f>"35084"</f>
        <v>35084</v>
      </c>
      <c r="C3066" s="1" t="str">
        <f>"RINGOES"</f>
        <v>RINGOES</v>
      </c>
      <c r="D3066" s="1" t="str">
        <f t="shared" si="222"/>
        <v>NJ</v>
      </c>
      <c r="E3066" s="2">
        <v>1</v>
      </c>
      <c r="F3066" s="2">
        <v>1</v>
      </c>
      <c r="G3066" s="2">
        <v>1</v>
      </c>
      <c r="H3066" s="2">
        <v>1</v>
      </c>
    </row>
    <row r="3067" spans="1:8" x14ac:dyDescent="0.25">
      <c r="A3067" s="1" t="str">
        <f>"08759"</f>
        <v>08759</v>
      </c>
      <c r="B3067" s="1" t="str">
        <f>"35154"</f>
        <v>35154</v>
      </c>
      <c r="C3067" s="1" t="str">
        <f>"MANCHESTER TOWNSHIP"</f>
        <v>MANCHESTER TOWNSHIP</v>
      </c>
      <c r="D3067" s="1" t="str">
        <f t="shared" si="222"/>
        <v>NJ</v>
      </c>
      <c r="E3067" s="2">
        <v>1</v>
      </c>
      <c r="F3067" s="2">
        <v>1</v>
      </c>
      <c r="G3067" s="2">
        <v>1</v>
      </c>
      <c r="H3067" s="2">
        <v>1</v>
      </c>
    </row>
    <row r="3068" spans="1:8" x14ac:dyDescent="0.25">
      <c r="A3068" s="1" t="str">
        <f>"08731"</f>
        <v>08731</v>
      </c>
      <c r="B3068" s="1" t="str">
        <f>"35154"</f>
        <v>35154</v>
      </c>
      <c r="C3068" s="1" t="str">
        <f>"FORKED RIVER"</f>
        <v>FORKED RIVER</v>
      </c>
      <c r="D3068" s="1" t="str">
        <f t="shared" si="222"/>
        <v>NJ</v>
      </c>
      <c r="E3068" s="2">
        <v>1</v>
      </c>
      <c r="F3068" s="2">
        <v>1</v>
      </c>
      <c r="G3068" s="2">
        <v>1</v>
      </c>
      <c r="H3068" s="2">
        <v>1</v>
      </c>
    </row>
    <row r="3069" spans="1:8" x14ac:dyDescent="0.25">
      <c r="A3069" s="1" t="str">
        <f>"10021"</f>
        <v>10021</v>
      </c>
      <c r="B3069" s="1" t="str">
        <f t="shared" ref="B3069:B3075" si="224">"35614"</f>
        <v>35614</v>
      </c>
      <c r="C3069" s="1" t="str">
        <f>"NEW YORK"</f>
        <v>NEW YORK</v>
      </c>
      <c r="D3069" s="1" t="str">
        <f t="shared" ref="D3069:D3088" si="225">"NY"</f>
        <v>NY</v>
      </c>
      <c r="E3069" s="2">
        <v>1</v>
      </c>
      <c r="F3069" s="2">
        <v>1</v>
      </c>
      <c r="G3069" s="2">
        <v>1</v>
      </c>
      <c r="H3069" s="2">
        <v>1</v>
      </c>
    </row>
    <row r="3070" spans="1:8" x14ac:dyDescent="0.25">
      <c r="A3070" s="1" t="str">
        <f>"10026"</f>
        <v>10026</v>
      </c>
      <c r="B3070" s="1" t="str">
        <f t="shared" si="224"/>
        <v>35614</v>
      </c>
      <c r="C3070" s="1" t="str">
        <f>"NEW YORK"</f>
        <v>NEW YORK</v>
      </c>
      <c r="D3070" s="1" t="str">
        <f t="shared" si="225"/>
        <v>NY</v>
      </c>
      <c r="E3070" s="2">
        <v>1</v>
      </c>
      <c r="F3070" s="2">
        <v>1</v>
      </c>
      <c r="G3070" s="2">
        <v>1</v>
      </c>
      <c r="H3070" s="2">
        <v>1</v>
      </c>
    </row>
    <row r="3071" spans="1:8" x14ac:dyDescent="0.25">
      <c r="A3071" s="1" t="str">
        <f>"10469"</f>
        <v>10469</v>
      </c>
      <c r="B3071" s="1" t="str">
        <f t="shared" si="224"/>
        <v>35614</v>
      </c>
      <c r="C3071" s="1" t="str">
        <f>"BRONX"</f>
        <v>BRONX</v>
      </c>
      <c r="D3071" s="1" t="str">
        <f t="shared" si="225"/>
        <v>NY</v>
      </c>
      <c r="E3071" s="2">
        <v>1</v>
      </c>
      <c r="F3071" s="2">
        <v>1</v>
      </c>
      <c r="G3071" s="2">
        <v>1</v>
      </c>
      <c r="H3071" s="2">
        <v>1</v>
      </c>
    </row>
    <row r="3072" spans="1:8" x14ac:dyDescent="0.25">
      <c r="A3072" s="1" t="str">
        <f>"11219"</f>
        <v>11219</v>
      </c>
      <c r="B3072" s="1" t="str">
        <f t="shared" si="224"/>
        <v>35614</v>
      </c>
      <c r="C3072" s="1" t="str">
        <f>"BROOKLYN"</f>
        <v>BROOKLYN</v>
      </c>
      <c r="D3072" s="1" t="str">
        <f t="shared" si="225"/>
        <v>NY</v>
      </c>
      <c r="E3072" s="2">
        <v>1</v>
      </c>
      <c r="F3072" s="2">
        <v>1</v>
      </c>
      <c r="G3072" s="2">
        <v>1</v>
      </c>
      <c r="H3072" s="2">
        <v>1</v>
      </c>
    </row>
    <row r="3073" spans="1:8" x14ac:dyDescent="0.25">
      <c r="A3073" s="1" t="str">
        <f>"11218"</f>
        <v>11218</v>
      </c>
      <c r="B3073" s="1" t="str">
        <f t="shared" si="224"/>
        <v>35614</v>
      </c>
      <c r="C3073" s="1" t="str">
        <f>"BROOKLYN"</f>
        <v>BROOKLYN</v>
      </c>
      <c r="D3073" s="1" t="str">
        <f t="shared" si="225"/>
        <v>NY</v>
      </c>
      <c r="E3073" s="2">
        <v>1</v>
      </c>
      <c r="F3073" s="2">
        <v>1</v>
      </c>
      <c r="G3073" s="2">
        <v>1</v>
      </c>
      <c r="H3073" s="2">
        <v>1</v>
      </c>
    </row>
    <row r="3074" spans="1:8" x14ac:dyDescent="0.25">
      <c r="A3074" s="1" t="str">
        <f>"11360"</f>
        <v>11360</v>
      </c>
      <c r="B3074" s="1" t="str">
        <f t="shared" si="224"/>
        <v>35614</v>
      </c>
      <c r="C3074" s="1" t="str">
        <f>"BAYSIDE"</f>
        <v>BAYSIDE</v>
      </c>
      <c r="D3074" s="1" t="str">
        <f t="shared" si="225"/>
        <v>NY</v>
      </c>
      <c r="E3074" s="2">
        <v>1</v>
      </c>
      <c r="F3074" s="2">
        <v>1</v>
      </c>
      <c r="G3074" s="2">
        <v>1</v>
      </c>
      <c r="H3074" s="2">
        <v>1</v>
      </c>
    </row>
    <row r="3075" spans="1:8" x14ac:dyDescent="0.25">
      <c r="A3075" s="1" t="str">
        <f>"11430"</f>
        <v>11430</v>
      </c>
      <c r="B3075" s="1" t="str">
        <f t="shared" si="224"/>
        <v>35614</v>
      </c>
      <c r="C3075" s="1" t="str">
        <f>"JAMAICA"</f>
        <v>JAMAICA</v>
      </c>
      <c r="D3075" s="1" t="str">
        <f t="shared" si="225"/>
        <v>NY</v>
      </c>
      <c r="E3075" s="2">
        <v>1</v>
      </c>
      <c r="F3075" s="2">
        <v>1</v>
      </c>
      <c r="G3075" s="2">
        <v>1</v>
      </c>
      <c r="H3075" s="2">
        <v>1</v>
      </c>
    </row>
    <row r="3076" spans="1:8" x14ac:dyDescent="0.25">
      <c r="A3076" s="1" t="str">
        <f>"11520"</f>
        <v>11520</v>
      </c>
      <c r="B3076" s="1" t="str">
        <f t="shared" ref="B3076:B3083" si="226">"35004"</f>
        <v>35004</v>
      </c>
      <c r="C3076" s="1" t="str">
        <f>"FREEPORT"</f>
        <v>FREEPORT</v>
      </c>
      <c r="D3076" s="1" t="str">
        <f t="shared" si="225"/>
        <v>NY</v>
      </c>
      <c r="E3076" s="2">
        <v>1</v>
      </c>
      <c r="F3076" s="2">
        <v>1</v>
      </c>
      <c r="G3076" s="2">
        <v>1</v>
      </c>
      <c r="H3076" s="2">
        <v>1</v>
      </c>
    </row>
    <row r="3077" spans="1:8" x14ac:dyDescent="0.25">
      <c r="A3077" s="1" t="str">
        <f>"11576"</f>
        <v>11576</v>
      </c>
      <c r="B3077" s="1" t="str">
        <f t="shared" si="226"/>
        <v>35004</v>
      </c>
      <c r="C3077" s="1" t="str">
        <f>"ROSLYN"</f>
        <v>ROSLYN</v>
      </c>
      <c r="D3077" s="1" t="str">
        <f t="shared" si="225"/>
        <v>NY</v>
      </c>
      <c r="E3077" s="2">
        <v>1</v>
      </c>
      <c r="F3077" s="2">
        <v>1</v>
      </c>
      <c r="G3077" s="2">
        <v>1</v>
      </c>
      <c r="H3077" s="2">
        <v>1</v>
      </c>
    </row>
    <row r="3078" spans="1:8" x14ac:dyDescent="0.25">
      <c r="A3078" s="1" t="str">
        <f>"11701"</f>
        <v>11701</v>
      </c>
      <c r="B3078" s="1" t="str">
        <f t="shared" si="226"/>
        <v>35004</v>
      </c>
      <c r="C3078" s="1" t="str">
        <f>"AMITYVILLE"</f>
        <v>AMITYVILLE</v>
      </c>
      <c r="D3078" s="1" t="str">
        <f t="shared" si="225"/>
        <v>NY</v>
      </c>
      <c r="E3078" s="2">
        <v>1</v>
      </c>
      <c r="F3078" s="2">
        <v>1</v>
      </c>
      <c r="G3078" s="2">
        <v>1</v>
      </c>
      <c r="H3078" s="2">
        <v>1</v>
      </c>
    </row>
    <row r="3079" spans="1:8" x14ac:dyDescent="0.25">
      <c r="A3079" s="1" t="str">
        <f>"11724"</f>
        <v>11724</v>
      </c>
      <c r="B3079" s="1" t="str">
        <f t="shared" si="226"/>
        <v>35004</v>
      </c>
      <c r="C3079" s="1" t="str">
        <f>"COLD SPRING HARBOR"</f>
        <v>COLD SPRING HARBOR</v>
      </c>
      <c r="D3079" s="1" t="str">
        <f t="shared" si="225"/>
        <v>NY</v>
      </c>
      <c r="E3079" s="2">
        <v>1</v>
      </c>
      <c r="F3079" s="2">
        <v>1</v>
      </c>
      <c r="G3079" s="2">
        <v>1</v>
      </c>
      <c r="H3079" s="2">
        <v>1</v>
      </c>
    </row>
    <row r="3080" spans="1:8" x14ac:dyDescent="0.25">
      <c r="A3080" s="1" t="str">
        <f>"11710"</f>
        <v>11710</v>
      </c>
      <c r="B3080" s="1" t="str">
        <f t="shared" si="226"/>
        <v>35004</v>
      </c>
      <c r="C3080" s="1" t="str">
        <f>"BELLMORE"</f>
        <v>BELLMORE</v>
      </c>
      <c r="D3080" s="1" t="str">
        <f t="shared" si="225"/>
        <v>NY</v>
      </c>
      <c r="E3080" s="2">
        <v>1</v>
      </c>
      <c r="F3080" s="2">
        <v>1</v>
      </c>
      <c r="G3080" s="2">
        <v>1</v>
      </c>
      <c r="H3080" s="2">
        <v>1</v>
      </c>
    </row>
    <row r="3081" spans="1:8" x14ac:dyDescent="0.25">
      <c r="A3081" s="1" t="str">
        <f>"11779"</f>
        <v>11779</v>
      </c>
      <c r="B3081" s="1" t="str">
        <f t="shared" si="226"/>
        <v>35004</v>
      </c>
      <c r="C3081" s="1" t="str">
        <f>"RONKONKOMA"</f>
        <v>RONKONKOMA</v>
      </c>
      <c r="D3081" s="1" t="str">
        <f t="shared" si="225"/>
        <v>NY</v>
      </c>
      <c r="E3081" s="2">
        <v>1</v>
      </c>
      <c r="F3081" s="2">
        <v>1</v>
      </c>
      <c r="G3081" s="2">
        <v>1</v>
      </c>
      <c r="H3081" s="2">
        <v>1</v>
      </c>
    </row>
    <row r="3082" spans="1:8" x14ac:dyDescent="0.25">
      <c r="A3082" s="1" t="str">
        <f>"11771"</f>
        <v>11771</v>
      </c>
      <c r="B3082" s="1" t="str">
        <f t="shared" si="226"/>
        <v>35004</v>
      </c>
      <c r="C3082" s="1" t="str">
        <f>"OYSTER BAY"</f>
        <v>OYSTER BAY</v>
      </c>
      <c r="D3082" s="1" t="str">
        <f t="shared" si="225"/>
        <v>NY</v>
      </c>
      <c r="E3082" s="2">
        <v>1</v>
      </c>
      <c r="F3082" s="2">
        <v>1</v>
      </c>
      <c r="G3082" s="2">
        <v>1</v>
      </c>
      <c r="H3082" s="2">
        <v>1</v>
      </c>
    </row>
    <row r="3083" spans="1:8" x14ac:dyDescent="0.25">
      <c r="A3083" s="1" t="str">
        <f>"11789"</f>
        <v>11789</v>
      </c>
      <c r="B3083" s="1" t="str">
        <f t="shared" si="226"/>
        <v>35004</v>
      </c>
      <c r="C3083" s="1" t="str">
        <f>"SOUND BEACH"</f>
        <v>SOUND BEACH</v>
      </c>
      <c r="D3083" s="1" t="str">
        <f t="shared" si="225"/>
        <v>NY</v>
      </c>
      <c r="E3083" s="2">
        <v>1</v>
      </c>
      <c r="F3083" s="2">
        <v>1</v>
      </c>
      <c r="G3083" s="2">
        <v>1</v>
      </c>
      <c r="H3083" s="2">
        <v>1</v>
      </c>
    </row>
    <row r="3084" spans="1:8" x14ac:dyDescent="0.25">
      <c r="A3084" s="1" t="str">
        <f>"10560"</f>
        <v>10560</v>
      </c>
      <c r="B3084" s="1" t="str">
        <f>"35614"</f>
        <v>35614</v>
      </c>
      <c r="C3084" s="1" t="str">
        <f>"NORTH SALEM"</f>
        <v>NORTH SALEM</v>
      </c>
      <c r="D3084" s="1" t="str">
        <f t="shared" si="225"/>
        <v>NY</v>
      </c>
      <c r="E3084" s="2">
        <v>1</v>
      </c>
      <c r="F3084" s="2">
        <v>1</v>
      </c>
      <c r="G3084" s="2">
        <v>1</v>
      </c>
      <c r="H3084" s="2">
        <v>1</v>
      </c>
    </row>
    <row r="3085" spans="1:8" x14ac:dyDescent="0.25">
      <c r="A3085" s="1" t="str">
        <f>"10580"</f>
        <v>10580</v>
      </c>
      <c r="B3085" s="1" t="str">
        <f>"35614"</f>
        <v>35614</v>
      </c>
      <c r="C3085" s="1" t="str">
        <f>"RYE"</f>
        <v>RYE</v>
      </c>
      <c r="D3085" s="1" t="str">
        <f t="shared" si="225"/>
        <v>NY</v>
      </c>
      <c r="E3085" s="2">
        <v>1</v>
      </c>
      <c r="F3085" s="2">
        <v>1</v>
      </c>
      <c r="G3085" s="2">
        <v>1</v>
      </c>
      <c r="H3085" s="2">
        <v>1</v>
      </c>
    </row>
    <row r="3086" spans="1:8" x14ac:dyDescent="0.25">
      <c r="A3086" s="1" t="str">
        <f>"10578"</f>
        <v>10578</v>
      </c>
      <c r="B3086" s="1" t="str">
        <f>"35614"</f>
        <v>35614</v>
      </c>
      <c r="C3086" s="1" t="str">
        <f>"PURDYS"</f>
        <v>PURDYS</v>
      </c>
      <c r="D3086" s="1" t="str">
        <f t="shared" si="225"/>
        <v>NY</v>
      </c>
      <c r="E3086" s="2">
        <v>1</v>
      </c>
      <c r="F3086" s="2">
        <v>1</v>
      </c>
      <c r="G3086" s="2">
        <v>1</v>
      </c>
      <c r="H3086" s="2">
        <v>1</v>
      </c>
    </row>
    <row r="3087" spans="1:8" x14ac:dyDescent="0.25">
      <c r="A3087" s="1" t="str">
        <f>"10710"</f>
        <v>10710</v>
      </c>
      <c r="B3087" s="1" t="str">
        <f>"35614"</f>
        <v>35614</v>
      </c>
      <c r="C3087" s="1" t="str">
        <f>"YONKERS"</f>
        <v>YONKERS</v>
      </c>
      <c r="D3087" s="1" t="str">
        <f t="shared" si="225"/>
        <v>NY</v>
      </c>
      <c r="E3087" s="2">
        <v>1</v>
      </c>
      <c r="F3087" s="2">
        <v>1</v>
      </c>
      <c r="G3087" s="2">
        <v>1</v>
      </c>
      <c r="H3087" s="2">
        <v>1</v>
      </c>
    </row>
    <row r="3088" spans="1:8" x14ac:dyDescent="0.25">
      <c r="A3088" s="1" t="str">
        <f>"10923"</f>
        <v>10923</v>
      </c>
      <c r="B3088" s="1" t="str">
        <f>"35614"</f>
        <v>35614</v>
      </c>
      <c r="C3088" s="1" t="str">
        <f>"GARNERVILLE"</f>
        <v>GARNERVILLE</v>
      </c>
      <c r="D3088" s="1" t="str">
        <f t="shared" si="225"/>
        <v>NY</v>
      </c>
      <c r="E3088" s="2">
        <v>1</v>
      </c>
      <c r="F3088" s="2">
        <v>1</v>
      </c>
      <c r="G3088" s="2">
        <v>1</v>
      </c>
      <c r="H3088" s="2">
        <v>1</v>
      </c>
    </row>
    <row r="3089" spans="1:8" x14ac:dyDescent="0.25">
      <c r="A3089" s="1" t="str">
        <f>"18940"</f>
        <v>18940</v>
      </c>
      <c r="B3089" s="1" t="str">
        <f>"33874"</f>
        <v>33874</v>
      </c>
      <c r="C3089" s="1" t="str">
        <f>"NEWTOWN"</f>
        <v>NEWTOWN</v>
      </c>
      <c r="D3089" s="1" t="str">
        <f t="shared" ref="D3089:D3094" si="227">"PA"</f>
        <v>PA</v>
      </c>
      <c r="E3089" s="2">
        <v>1</v>
      </c>
      <c r="F3089" s="2">
        <v>1</v>
      </c>
      <c r="G3089" s="2">
        <v>1</v>
      </c>
      <c r="H3089" s="2">
        <v>1</v>
      </c>
    </row>
    <row r="3090" spans="1:8" x14ac:dyDescent="0.25">
      <c r="A3090" s="1" t="str">
        <f>"18931"</f>
        <v>18931</v>
      </c>
      <c r="B3090" s="1" t="str">
        <f>"33874"</f>
        <v>33874</v>
      </c>
      <c r="C3090" s="1" t="str">
        <f>"LAHASKA"</f>
        <v>LAHASKA</v>
      </c>
      <c r="D3090" s="1" t="str">
        <f t="shared" si="227"/>
        <v>PA</v>
      </c>
      <c r="E3090" s="2">
        <v>1</v>
      </c>
      <c r="F3090" s="2">
        <v>1</v>
      </c>
      <c r="G3090" s="2">
        <v>1</v>
      </c>
      <c r="H3090" s="2">
        <v>1</v>
      </c>
    </row>
    <row r="3091" spans="1:8" x14ac:dyDescent="0.25">
      <c r="A3091" s="1" t="str">
        <f>"19036"</f>
        <v>19036</v>
      </c>
      <c r="B3091" s="1" t="str">
        <f>"37964"</f>
        <v>37964</v>
      </c>
      <c r="C3091" s="1" t="str">
        <f>"GLENOLDEN"</f>
        <v>GLENOLDEN</v>
      </c>
      <c r="D3091" s="1" t="str">
        <f t="shared" si="227"/>
        <v>PA</v>
      </c>
      <c r="E3091" s="2">
        <v>1</v>
      </c>
      <c r="F3091" s="2">
        <v>1</v>
      </c>
      <c r="G3091" s="2">
        <v>1</v>
      </c>
      <c r="H3091" s="2">
        <v>1</v>
      </c>
    </row>
    <row r="3092" spans="1:8" x14ac:dyDescent="0.25">
      <c r="A3092" s="1" t="str">
        <f>"19137"</f>
        <v>19137</v>
      </c>
      <c r="B3092" s="1" t="str">
        <f>"37964"</f>
        <v>37964</v>
      </c>
      <c r="C3092" s="1" t="str">
        <f>"PHILADELPHIA"</f>
        <v>PHILADELPHIA</v>
      </c>
      <c r="D3092" s="1" t="str">
        <f t="shared" si="227"/>
        <v>PA</v>
      </c>
      <c r="E3092" s="2">
        <v>1</v>
      </c>
      <c r="F3092" s="2">
        <v>1</v>
      </c>
      <c r="G3092" s="2">
        <v>1</v>
      </c>
      <c r="H3092" s="2">
        <v>1</v>
      </c>
    </row>
    <row r="3093" spans="1:8" x14ac:dyDescent="0.25">
      <c r="A3093" s="1" t="str">
        <f>"19352"</f>
        <v>19352</v>
      </c>
      <c r="B3093" s="1" t="str">
        <f>"33874"</f>
        <v>33874</v>
      </c>
      <c r="C3093" s="1" t="str">
        <f>"LINCOLN UNIVERSITY"</f>
        <v>LINCOLN UNIVERSITY</v>
      </c>
      <c r="D3093" s="1" t="str">
        <f t="shared" si="227"/>
        <v>PA</v>
      </c>
      <c r="E3093" s="2">
        <v>1</v>
      </c>
      <c r="F3093" s="2">
        <v>1</v>
      </c>
      <c r="G3093" s="2">
        <v>1</v>
      </c>
      <c r="H3093" s="2">
        <v>1</v>
      </c>
    </row>
    <row r="3094" spans="1:8" x14ac:dyDescent="0.25">
      <c r="A3094" s="1" t="str">
        <f>"19460"</f>
        <v>19460</v>
      </c>
      <c r="B3094" s="1" t="str">
        <f>"33874"</f>
        <v>33874</v>
      </c>
      <c r="C3094" s="1" t="str">
        <f>"PHOENIXVILLE"</f>
        <v>PHOENIXVILLE</v>
      </c>
      <c r="D3094" s="1" t="str">
        <f t="shared" si="227"/>
        <v>PA</v>
      </c>
      <c r="E3094" s="2">
        <v>1</v>
      </c>
      <c r="F3094" s="2">
        <v>1</v>
      </c>
      <c r="G3094" s="2">
        <v>1</v>
      </c>
      <c r="H3094" s="2">
        <v>1</v>
      </c>
    </row>
    <row r="3095" spans="1:8" x14ac:dyDescent="0.25">
      <c r="A3095" s="1" t="str">
        <f>"20020"</f>
        <v>20020</v>
      </c>
      <c r="B3095" s="1" t="str">
        <f t="shared" ref="B3095:B3100" si="228">"47894"</f>
        <v>47894</v>
      </c>
      <c r="C3095" s="1" t="str">
        <f>"WASHINGTON"</f>
        <v>WASHINGTON</v>
      </c>
      <c r="D3095" s="1" t="str">
        <f>"DC"</f>
        <v>DC</v>
      </c>
      <c r="E3095" s="2">
        <v>1</v>
      </c>
      <c r="F3095" s="2">
        <v>1</v>
      </c>
      <c r="G3095" s="2">
        <v>1</v>
      </c>
      <c r="H3095" s="2">
        <v>1</v>
      </c>
    </row>
    <row r="3096" spans="1:8" x14ac:dyDescent="0.25">
      <c r="A3096" s="1" t="str">
        <f>"20657"</f>
        <v>20657</v>
      </c>
      <c r="B3096" s="1" t="str">
        <f t="shared" si="228"/>
        <v>47894</v>
      </c>
      <c r="C3096" s="1" t="str">
        <f>"LUSBY"</f>
        <v>LUSBY</v>
      </c>
      <c r="D3096" s="1" t="str">
        <f>"MD"</f>
        <v>MD</v>
      </c>
      <c r="E3096" s="2">
        <v>1</v>
      </c>
      <c r="F3096" s="2">
        <v>1</v>
      </c>
      <c r="G3096" s="2">
        <v>1</v>
      </c>
      <c r="H3096" s="2">
        <v>1</v>
      </c>
    </row>
    <row r="3097" spans="1:8" x14ac:dyDescent="0.25">
      <c r="A3097" s="1" t="str">
        <f>"20175"</f>
        <v>20175</v>
      </c>
      <c r="B3097" s="1" t="str">
        <f t="shared" si="228"/>
        <v>47894</v>
      </c>
      <c r="C3097" s="1" t="str">
        <f>"LEESBURG"</f>
        <v>LEESBURG</v>
      </c>
      <c r="D3097" s="1" t="str">
        <f>"VA"</f>
        <v>VA</v>
      </c>
      <c r="E3097" s="2">
        <v>1</v>
      </c>
      <c r="F3097" s="2">
        <v>1</v>
      </c>
      <c r="G3097" s="2">
        <v>1</v>
      </c>
      <c r="H3097" s="2">
        <v>1</v>
      </c>
    </row>
    <row r="3098" spans="1:8" x14ac:dyDescent="0.25">
      <c r="A3098" s="1" t="str">
        <f>"22040"</f>
        <v>22040</v>
      </c>
      <c r="B3098" s="1" t="str">
        <f t="shared" si="228"/>
        <v>47894</v>
      </c>
      <c r="C3098" s="1" t="str">
        <f>"FALLS CHURCH"</f>
        <v>FALLS CHURCH</v>
      </c>
      <c r="D3098" s="1" t="str">
        <f>"VA"</f>
        <v>VA</v>
      </c>
      <c r="E3098" s="2">
        <v>1</v>
      </c>
      <c r="F3098" s="2">
        <v>1</v>
      </c>
      <c r="G3098" s="2">
        <v>1</v>
      </c>
      <c r="H3098" s="2">
        <v>1</v>
      </c>
    </row>
    <row r="3099" spans="1:8" x14ac:dyDescent="0.25">
      <c r="A3099" s="1" t="str">
        <f>"22642"</f>
        <v>22642</v>
      </c>
      <c r="B3099" s="1" t="str">
        <f t="shared" si="228"/>
        <v>47894</v>
      </c>
      <c r="C3099" s="1" t="str">
        <f>"LINDEN"</f>
        <v>LINDEN</v>
      </c>
      <c r="D3099" s="1" t="str">
        <f>"VA"</f>
        <v>VA</v>
      </c>
      <c r="E3099" s="2">
        <v>1</v>
      </c>
      <c r="F3099" s="2">
        <v>1</v>
      </c>
      <c r="G3099" s="2">
        <v>1</v>
      </c>
      <c r="H3099" s="2">
        <v>1</v>
      </c>
    </row>
    <row r="3100" spans="1:8" x14ac:dyDescent="0.25">
      <c r="A3100" s="1" t="str">
        <f>"22728"</f>
        <v>22728</v>
      </c>
      <c r="B3100" s="1" t="str">
        <f t="shared" si="228"/>
        <v>47894</v>
      </c>
      <c r="C3100" s="1" t="str">
        <f>"MIDLAND"</f>
        <v>MIDLAND</v>
      </c>
      <c r="D3100" s="1" t="str">
        <f>"VA"</f>
        <v>VA</v>
      </c>
      <c r="E3100" s="2">
        <v>1</v>
      </c>
      <c r="F3100" s="2">
        <v>1</v>
      </c>
      <c r="G3100" s="2">
        <v>1</v>
      </c>
      <c r="H3100" s="2">
        <v>1</v>
      </c>
    </row>
    <row r="3101" spans="1:8" x14ac:dyDescent="0.25">
      <c r="A3101" s="1" t="str">
        <f>"33035"</f>
        <v>33035</v>
      </c>
      <c r="B3101" s="1" t="str">
        <f>"33124"</f>
        <v>33124</v>
      </c>
      <c r="C3101" s="1" t="str">
        <f>"HOMESTEAD"</f>
        <v>HOMESTEAD</v>
      </c>
      <c r="D3101" s="1" t="str">
        <f>"FL"</f>
        <v>FL</v>
      </c>
      <c r="E3101" s="2">
        <v>1</v>
      </c>
      <c r="F3101" s="2">
        <v>1</v>
      </c>
      <c r="G3101" s="2">
        <v>1</v>
      </c>
      <c r="H3101" s="2">
        <v>1</v>
      </c>
    </row>
    <row r="3102" spans="1:8" x14ac:dyDescent="0.25">
      <c r="A3102" s="1" t="str">
        <f>"33418"</f>
        <v>33418</v>
      </c>
      <c r="B3102" s="1" t="str">
        <f>"48424"</f>
        <v>48424</v>
      </c>
      <c r="C3102" s="1" t="str">
        <f>"PALM BEACH GARDENS"</f>
        <v>PALM BEACH GARDENS</v>
      </c>
      <c r="D3102" s="1" t="str">
        <f>"FL"</f>
        <v>FL</v>
      </c>
      <c r="E3102" s="2">
        <v>1</v>
      </c>
      <c r="F3102" s="2">
        <v>1</v>
      </c>
      <c r="G3102" s="2">
        <v>1</v>
      </c>
      <c r="H3102" s="2">
        <v>1</v>
      </c>
    </row>
    <row r="3103" spans="1:8" x14ac:dyDescent="0.25">
      <c r="A3103" s="1" t="str">
        <f>"33194"</f>
        <v>33194</v>
      </c>
      <c r="B3103" s="1" t="str">
        <f>"33124"</f>
        <v>33124</v>
      </c>
      <c r="C3103" s="1" t="str">
        <f>"MIAMI"</f>
        <v>MIAMI</v>
      </c>
      <c r="D3103" s="1" t="str">
        <f>"FL"</f>
        <v>FL</v>
      </c>
      <c r="E3103" s="2">
        <v>1</v>
      </c>
      <c r="F3103" s="2">
        <v>1</v>
      </c>
      <c r="G3103" s="2">
        <v>1</v>
      </c>
      <c r="H3103" s="2">
        <v>1</v>
      </c>
    </row>
    <row r="3104" spans="1:8" x14ac:dyDescent="0.25">
      <c r="A3104" s="1" t="str">
        <f>"46321"</f>
        <v>46321</v>
      </c>
      <c r="B3104" s="1" t="str">
        <f>"23844"</f>
        <v>23844</v>
      </c>
      <c r="C3104" s="1" t="str">
        <f>"MUNSTER"</f>
        <v>MUNSTER</v>
      </c>
      <c r="D3104" s="1" t="str">
        <f>"IN"</f>
        <v>IN</v>
      </c>
      <c r="E3104" s="2">
        <v>1</v>
      </c>
      <c r="F3104" s="2">
        <v>1</v>
      </c>
      <c r="G3104" s="2">
        <v>1</v>
      </c>
      <c r="H3104" s="2">
        <v>1</v>
      </c>
    </row>
    <row r="3105" spans="1:8" x14ac:dyDescent="0.25">
      <c r="A3105" s="1" t="str">
        <f>"46409"</f>
        <v>46409</v>
      </c>
      <c r="B3105" s="1" t="str">
        <f>"23844"</f>
        <v>23844</v>
      </c>
      <c r="C3105" s="1" t="str">
        <f>"GARY"</f>
        <v>GARY</v>
      </c>
      <c r="D3105" s="1" t="str">
        <f>"IN"</f>
        <v>IN</v>
      </c>
      <c r="E3105" s="2">
        <v>1</v>
      </c>
      <c r="F3105" s="2">
        <v>1</v>
      </c>
      <c r="G3105" s="2">
        <v>1</v>
      </c>
      <c r="H3105" s="2">
        <v>1</v>
      </c>
    </row>
    <row r="3106" spans="1:8" x14ac:dyDescent="0.25">
      <c r="A3106" s="1" t="str">
        <f>"46394"</f>
        <v>46394</v>
      </c>
      <c r="B3106" s="1" t="str">
        <f>"23844"</f>
        <v>23844</v>
      </c>
      <c r="C3106" s="1" t="str">
        <f>"WHITING"</f>
        <v>WHITING</v>
      </c>
      <c r="D3106" s="1" t="str">
        <f>"IN"</f>
        <v>IN</v>
      </c>
      <c r="E3106" s="2">
        <v>1</v>
      </c>
      <c r="F3106" s="2">
        <v>1</v>
      </c>
      <c r="G3106" s="2">
        <v>1</v>
      </c>
      <c r="H3106" s="2">
        <v>1</v>
      </c>
    </row>
    <row r="3107" spans="1:8" x14ac:dyDescent="0.25">
      <c r="A3107" s="1" t="str">
        <f>"48049"</f>
        <v>48049</v>
      </c>
      <c r="B3107" s="1" t="str">
        <f t="shared" ref="B3107:B3112" si="229">"47664"</f>
        <v>47664</v>
      </c>
      <c r="C3107" s="1" t="str">
        <f>"NORTH STREET"</f>
        <v>NORTH STREET</v>
      </c>
      <c r="D3107" s="1" t="str">
        <f t="shared" ref="D3107:D3112" si="230">"MI"</f>
        <v>MI</v>
      </c>
      <c r="E3107" s="2">
        <v>1</v>
      </c>
      <c r="F3107" s="2">
        <v>1</v>
      </c>
      <c r="G3107" s="2">
        <v>1</v>
      </c>
      <c r="H3107" s="2">
        <v>1</v>
      </c>
    </row>
    <row r="3108" spans="1:8" x14ac:dyDescent="0.25">
      <c r="A3108" s="1" t="str">
        <f>"48003"</f>
        <v>48003</v>
      </c>
      <c r="B3108" s="1" t="str">
        <f t="shared" si="229"/>
        <v>47664</v>
      </c>
      <c r="C3108" s="1" t="str">
        <f>"ALMONT"</f>
        <v>ALMONT</v>
      </c>
      <c r="D3108" s="1" t="str">
        <f t="shared" si="230"/>
        <v>MI</v>
      </c>
      <c r="E3108" s="2">
        <v>1</v>
      </c>
      <c r="F3108" s="2">
        <v>1</v>
      </c>
      <c r="G3108" s="2">
        <v>1</v>
      </c>
      <c r="H3108" s="2">
        <v>1</v>
      </c>
    </row>
    <row r="3109" spans="1:8" x14ac:dyDescent="0.25">
      <c r="A3109" s="1" t="str">
        <f>"48360"</f>
        <v>48360</v>
      </c>
      <c r="B3109" s="1" t="str">
        <f t="shared" si="229"/>
        <v>47664</v>
      </c>
      <c r="C3109" s="1" t="str">
        <f>"LAKE ORION"</f>
        <v>LAKE ORION</v>
      </c>
      <c r="D3109" s="1" t="str">
        <f t="shared" si="230"/>
        <v>MI</v>
      </c>
      <c r="E3109" s="2">
        <v>1</v>
      </c>
      <c r="F3109" s="2">
        <v>1</v>
      </c>
      <c r="G3109" s="2">
        <v>1</v>
      </c>
      <c r="H3109" s="2">
        <v>1</v>
      </c>
    </row>
    <row r="3110" spans="1:8" x14ac:dyDescent="0.25">
      <c r="A3110" s="1" t="str">
        <f>"48375"</f>
        <v>48375</v>
      </c>
      <c r="B3110" s="1" t="str">
        <f t="shared" si="229"/>
        <v>47664</v>
      </c>
      <c r="C3110" s="1" t="str">
        <f>"NOVI"</f>
        <v>NOVI</v>
      </c>
      <c r="D3110" s="1" t="str">
        <f t="shared" si="230"/>
        <v>MI</v>
      </c>
      <c r="E3110" s="2">
        <v>1</v>
      </c>
      <c r="F3110" s="2">
        <v>1</v>
      </c>
      <c r="G3110" s="2">
        <v>1</v>
      </c>
      <c r="H3110" s="2">
        <v>1</v>
      </c>
    </row>
    <row r="3111" spans="1:8" x14ac:dyDescent="0.25">
      <c r="A3111" s="1" t="str">
        <f>"48315"</f>
        <v>48315</v>
      </c>
      <c r="B3111" s="1" t="str">
        <f t="shared" si="229"/>
        <v>47664</v>
      </c>
      <c r="C3111" s="1" t="str">
        <f>"UTICA"</f>
        <v>UTICA</v>
      </c>
      <c r="D3111" s="1" t="str">
        <f t="shared" si="230"/>
        <v>MI</v>
      </c>
      <c r="E3111" s="2">
        <v>1</v>
      </c>
      <c r="F3111" s="2">
        <v>1</v>
      </c>
      <c r="G3111" s="2">
        <v>1</v>
      </c>
      <c r="H3111" s="2">
        <v>1</v>
      </c>
    </row>
    <row r="3112" spans="1:8" x14ac:dyDescent="0.25">
      <c r="A3112" s="1" t="str">
        <f>"48412"</f>
        <v>48412</v>
      </c>
      <c r="B3112" s="1" t="str">
        <f t="shared" si="229"/>
        <v>47664</v>
      </c>
      <c r="C3112" s="1" t="str">
        <f>"ATTICA"</f>
        <v>ATTICA</v>
      </c>
      <c r="D3112" s="1" t="str">
        <f t="shared" si="230"/>
        <v>MI</v>
      </c>
      <c r="E3112" s="2">
        <v>1</v>
      </c>
      <c r="F3112" s="2">
        <v>1</v>
      </c>
      <c r="G3112" s="2">
        <v>1</v>
      </c>
      <c r="H3112" s="2">
        <v>1</v>
      </c>
    </row>
    <row r="3113" spans="1:8" x14ac:dyDescent="0.25">
      <c r="A3113" s="1" t="str">
        <f>"60416"</f>
        <v>60416</v>
      </c>
      <c r="B3113" s="1" t="str">
        <f t="shared" ref="B3113:B3121" si="231">"16984"</f>
        <v>16984</v>
      </c>
      <c r="C3113" s="1" t="str">
        <f>"COAL CITY"</f>
        <v>COAL CITY</v>
      </c>
      <c r="D3113" s="1" t="str">
        <f t="shared" ref="D3113:D3121" si="232">"IL"</f>
        <v>IL</v>
      </c>
      <c r="E3113" s="2">
        <v>1</v>
      </c>
      <c r="F3113" s="2">
        <v>1</v>
      </c>
      <c r="G3113" s="2">
        <v>1</v>
      </c>
      <c r="H3113" s="2">
        <v>1</v>
      </c>
    </row>
    <row r="3114" spans="1:8" x14ac:dyDescent="0.25">
      <c r="A3114" s="1" t="str">
        <f>"60478"</f>
        <v>60478</v>
      </c>
      <c r="B3114" s="1" t="str">
        <f t="shared" si="231"/>
        <v>16984</v>
      </c>
      <c r="C3114" s="1" t="str">
        <f>"COUNTRY CLUB HILLS"</f>
        <v>COUNTRY CLUB HILLS</v>
      </c>
      <c r="D3114" s="1" t="str">
        <f t="shared" si="232"/>
        <v>IL</v>
      </c>
      <c r="E3114" s="2">
        <v>1</v>
      </c>
      <c r="F3114" s="2">
        <v>1</v>
      </c>
      <c r="G3114" s="2">
        <v>1</v>
      </c>
      <c r="H3114" s="2">
        <v>1</v>
      </c>
    </row>
    <row r="3115" spans="1:8" x14ac:dyDescent="0.25">
      <c r="A3115" s="1" t="str">
        <f>"60137"</f>
        <v>60137</v>
      </c>
      <c r="B3115" s="1" t="str">
        <f t="shared" si="231"/>
        <v>16984</v>
      </c>
      <c r="C3115" s="1" t="str">
        <f>"GLEN ELLYN"</f>
        <v>GLEN ELLYN</v>
      </c>
      <c r="D3115" s="1" t="str">
        <f t="shared" si="232"/>
        <v>IL</v>
      </c>
      <c r="E3115" s="2">
        <v>1</v>
      </c>
      <c r="F3115" s="2">
        <v>1</v>
      </c>
      <c r="G3115" s="2">
        <v>1</v>
      </c>
      <c r="H3115" s="2">
        <v>1</v>
      </c>
    </row>
    <row r="3116" spans="1:8" x14ac:dyDescent="0.25">
      <c r="A3116" s="1" t="str">
        <f>"60139"</f>
        <v>60139</v>
      </c>
      <c r="B3116" s="1" t="str">
        <f t="shared" si="231"/>
        <v>16984</v>
      </c>
      <c r="C3116" s="1" t="str">
        <f>"GLENDALE HEIGHTS"</f>
        <v>GLENDALE HEIGHTS</v>
      </c>
      <c r="D3116" s="1" t="str">
        <f t="shared" si="232"/>
        <v>IL</v>
      </c>
      <c r="E3116" s="2">
        <v>1</v>
      </c>
      <c r="F3116" s="2">
        <v>1</v>
      </c>
      <c r="G3116" s="2">
        <v>1</v>
      </c>
      <c r="H3116" s="2">
        <v>1</v>
      </c>
    </row>
    <row r="3117" spans="1:8" x14ac:dyDescent="0.25">
      <c r="A3117" s="1" t="str">
        <f>"60156"</f>
        <v>60156</v>
      </c>
      <c r="B3117" s="1" t="str">
        <f t="shared" si="231"/>
        <v>16984</v>
      </c>
      <c r="C3117" s="1" t="str">
        <f>"LAKE IN THE HILLS"</f>
        <v>LAKE IN THE HILLS</v>
      </c>
      <c r="D3117" s="1" t="str">
        <f t="shared" si="232"/>
        <v>IL</v>
      </c>
      <c r="E3117" s="2">
        <v>1</v>
      </c>
      <c r="F3117" s="2">
        <v>1</v>
      </c>
      <c r="G3117" s="2">
        <v>1</v>
      </c>
      <c r="H3117" s="2">
        <v>1</v>
      </c>
    </row>
    <row r="3118" spans="1:8" x14ac:dyDescent="0.25">
      <c r="A3118" s="1" t="str">
        <f>"60164"</f>
        <v>60164</v>
      </c>
      <c r="B3118" s="1" t="str">
        <f t="shared" si="231"/>
        <v>16984</v>
      </c>
      <c r="C3118" s="1" t="str">
        <f>"MELROSE PARK"</f>
        <v>MELROSE PARK</v>
      </c>
      <c r="D3118" s="1" t="str">
        <f t="shared" si="232"/>
        <v>IL</v>
      </c>
      <c r="E3118" s="2">
        <v>1</v>
      </c>
      <c r="F3118" s="2">
        <v>1</v>
      </c>
      <c r="G3118" s="2">
        <v>1</v>
      </c>
      <c r="H3118" s="2">
        <v>1</v>
      </c>
    </row>
    <row r="3119" spans="1:8" x14ac:dyDescent="0.25">
      <c r="A3119" s="1" t="str">
        <f>"60618"</f>
        <v>60618</v>
      </c>
      <c r="B3119" s="1" t="str">
        <f t="shared" si="231"/>
        <v>16984</v>
      </c>
      <c r="C3119" s="1" t="str">
        <f>"CHICAGO"</f>
        <v>CHICAGO</v>
      </c>
      <c r="D3119" s="1" t="str">
        <f t="shared" si="232"/>
        <v>IL</v>
      </c>
      <c r="E3119" s="2">
        <v>1</v>
      </c>
      <c r="F3119" s="2">
        <v>1</v>
      </c>
      <c r="G3119" s="2">
        <v>1</v>
      </c>
      <c r="H3119" s="2">
        <v>1</v>
      </c>
    </row>
    <row r="3120" spans="1:8" x14ac:dyDescent="0.25">
      <c r="A3120" s="1" t="str">
        <f>"60626"</f>
        <v>60626</v>
      </c>
      <c r="B3120" s="1" t="str">
        <f t="shared" si="231"/>
        <v>16984</v>
      </c>
      <c r="C3120" s="1" t="str">
        <f>"CHICAGO"</f>
        <v>CHICAGO</v>
      </c>
      <c r="D3120" s="1" t="str">
        <f t="shared" si="232"/>
        <v>IL</v>
      </c>
      <c r="E3120" s="2">
        <v>1</v>
      </c>
      <c r="F3120" s="2">
        <v>1</v>
      </c>
      <c r="G3120" s="2">
        <v>1</v>
      </c>
      <c r="H3120" s="2">
        <v>1</v>
      </c>
    </row>
    <row r="3121" spans="1:8" x14ac:dyDescent="0.25">
      <c r="A3121" s="1" t="str">
        <f>"60605"</f>
        <v>60605</v>
      </c>
      <c r="B3121" s="1" t="str">
        <f t="shared" si="231"/>
        <v>16984</v>
      </c>
      <c r="C3121" s="1" t="str">
        <f>"CHICAGO"</f>
        <v>CHICAGO</v>
      </c>
      <c r="D3121" s="1" t="str">
        <f t="shared" si="232"/>
        <v>IL</v>
      </c>
      <c r="E3121" s="2">
        <v>1</v>
      </c>
      <c r="F3121" s="2">
        <v>1</v>
      </c>
      <c r="G3121" s="2">
        <v>1</v>
      </c>
      <c r="H3121" s="2">
        <v>1</v>
      </c>
    </row>
    <row r="3122" spans="1:8" x14ac:dyDescent="0.25">
      <c r="A3122" s="1" t="str">
        <f>"75026"</f>
        <v>75026</v>
      </c>
      <c r="B3122" s="1" t="str">
        <f>"19124"</f>
        <v>19124</v>
      </c>
      <c r="C3122" s="1" t="str">
        <f>"PLANO"</f>
        <v>PLANO</v>
      </c>
      <c r="D3122" s="1" t="str">
        <f t="shared" ref="D3122:D3133" si="233">"TX"</f>
        <v>TX</v>
      </c>
      <c r="E3122" s="2">
        <v>1</v>
      </c>
      <c r="F3122" s="2">
        <v>1</v>
      </c>
      <c r="G3122" s="2">
        <v>1</v>
      </c>
      <c r="H3122" s="2">
        <v>1</v>
      </c>
    </row>
    <row r="3123" spans="1:8" x14ac:dyDescent="0.25">
      <c r="A3123" s="1" t="str">
        <f>"75223"</f>
        <v>75223</v>
      </c>
      <c r="B3123" s="1" t="str">
        <f>"19124"</f>
        <v>19124</v>
      </c>
      <c r="C3123" s="1" t="str">
        <f>"DALLAS"</f>
        <v>DALLAS</v>
      </c>
      <c r="D3123" s="1" t="str">
        <f t="shared" si="233"/>
        <v>TX</v>
      </c>
      <c r="E3123" s="2">
        <v>1</v>
      </c>
      <c r="F3123" s="2">
        <v>1</v>
      </c>
      <c r="G3123" s="2">
        <v>1</v>
      </c>
      <c r="H3123" s="2">
        <v>1</v>
      </c>
    </row>
    <row r="3124" spans="1:8" x14ac:dyDescent="0.25">
      <c r="A3124" s="1" t="str">
        <f>"75228"</f>
        <v>75228</v>
      </c>
      <c r="B3124" s="1" t="str">
        <f>"19124"</f>
        <v>19124</v>
      </c>
      <c r="C3124" s="1" t="str">
        <f>"DALLAS"</f>
        <v>DALLAS</v>
      </c>
      <c r="D3124" s="1" t="str">
        <f t="shared" si="233"/>
        <v>TX</v>
      </c>
      <c r="E3124" s="2">
        <v>1</v>
      </c>
      <c r="F3124" s="2">
        <v>1</v>
      </c>
      <c r="G3124" s="2">
        <v>1</v>
      </c>
      <c r="H3124" s="2">
        <v>1</v>
      </c>
    </row>
    <row r="3125" spans="1:8" x14ac:dyDescent="0.25">
      <c r="A3125" s="1" t="str">
        <f>"75428"</f>
        <v>75428</v>
      </c>
      <c r="B3125" s="1" t="str">
        <f>"19124"</f>
        <v>19124</v>
      </c>
      <c r="C3125" s="1" t="str">
        <f>"COMMERCE"</f>
        <v>COMMERCE</v>
      </c>
      <c r="D3125" s="1" t="str">
        <f t="shared" si="233"/>
        <v>TX</v>
      </c>
      <c r="E3125" s="2">
        <v>1</v>
      </c>
      <c r="F3125" s="2">
        <v>1</v>
      </c>
      <c r="G3125" s="2">
        <v>1</v>
      </c>
      <c r="H3125" s="2">
        <v>1</v>
      </c>
    </row>
    <row r="3126" spans="1:8" x14ac:dyDescent="0.25">
      <c r="A3126" s="1" t="str">
        <f>"75172"</f>
        <v>75172</v>
      </c>
      <c r="B3126" s="1" t="str">
        <f>"19124"</f>
        <v>19124</v>
      </c>
      <c r="C3126" s="1" t="str">
        <f>"WILMER"</f>
        <v>WILMER</v>
      </c>
      <c r="D3126" s="1" t="str">
        <f t="shared" si="233"/>
        <v>TX</v>
      </c>
      <c r="E3126" s="2">
        <v>1</v>
      </c>
      <c r="F3126" s="2">
        <v>1</v>
      </c>
      <c r="G3126" s="2">
        <v>1</v>
      </c>
      <c r="H3126" s="2">
        <v>1</v>
      </c>
    </row>
    <row r="3127" spans="1:8" x14ac:dyDescent="0.25">
      <c r="A3127" s="1" t="str">
        <f>"76148"</f>
        <v>76148</v>
      </c>
      <c r="B3127" s="1" t="str">
        <f>"23104"</f>
        <v>23104</v>
      </c>
      <c r="C3127" s="1" t="str">
        <f>"FORT WORTH"</f>
        <v>FORT WORTH</v>
      </c>
      <c r="D3127" s="1" t="str">
        <f t="shared" si="233"/>
        <v>TX</v>
      </c>
      <c r="E3127" s="2">
        <v>1</v>
      </c>
      <c r="F3127" s="2">
        <v>1</v>
      </c>
      <c r="G3127" s="2">
        <v>1</v>
      </c>
      <c r="H3127" s="2">
        <v>1</v>
      </c>
    </row>
    <row r="3128" spans="1:8" x14ac:dyDescent="0.25">
      <c r="A3128" s="1" t="str">
        <f>"76177"</f>
        <v>76177</v>
      </c>
      <c r="B3128" s="1" t="str">
        <f>"23104"</f>
        <v>23104</v>
      </c>
      <c r="C3128" s="1" t="str">
        <f>"FORT WORTH"</f>
        <v>FORT WORTH</v>
      </c>
      <c r="D3128" s="1" t="str">
        <f t="shared" si="233"/>
        <v>TX</v>
      </c>
      <c r="E3128" s="2">
        <v>0.82392211404728699</v>
      </c>
      <c r="F3128" s="2">
        <v>0.84090909090909005</v>
      </c>
      <c r="G3128" s="2">
        <v>0.88442211055276299</v>
      </c>
      <c r="H3128" s="2">
        <v>0.828573670171034</v>
      </c>
    </row>
    <row r="3129" spans="1:8" x14ac:dyDescent="0.25">
      <c r="A3129" s="1" t="str">
        <f>"76177"</f>
        <v>76177</v>
      </c>
      <c r="B3129" s="1" t="str">
        <f>"19124"</f>
        <v>19124</v>
      </c>
      <c r="C3129" s="1" t="str">
        <f>"FORT WORTH"</f>
        <v>FORT WORTH</v>
      </c>
      <c r="D3129" s="1" t="str">
        <f t="shared" si="233"/>
        <v>TX</v>
      </c>
      <c r="E3129" s="2">
        <v>0.17607788595271201</v>
      </c>
      <c r="F3129" s="2">
        <v>0.15909090909090901</v>
      </c>
      <c r="G3129" s="2">
        <v>0.115577889447236</v>
      </c>
      <c r="H3129" s="2">
        <v>0.171426329828965</v>
      </c>
    </row>
    <row r="3130" spans="1:8" x14ac:dyDescent="0.25">
      <c r="A3130" s="1" t="str">
        <f>"76182"</f>
        <v>76182</v>
      </c>
      <c r="B3130" s="1" t="str">
        <f>"23104"</f>
        <v>23104</v>
      </c>
      <c r="C3130" s="1" t="str">
        <f>"NORTH RICHLAND HILLS"</f>
        <v>NORTH RICHLAND HILLS</v>
      </c>
      <c r="D3130" s="1" t="str">
        <f t="shared" si="233"/>
        <v>TX</v>
      </c>
      <c r="E3130" s="2">
        <v>1</v>
      </c>
      <c r="F3130" s="2">
        <v>1</v>
      </c>
      <c r="G3130" s="2">
        <v>1</v>
      </c>
      <c r="H3130" s="2">
        <v>1</v>
      </c>
    </row>
    <row r="3131" spans="1:8" x14ac:dyDescent="0.25">
      <c r="A3131" s="1" t="str">
        <f>"76161"</f>
        <v>76161</v>
      </c>
      <c r="B3131" s="1" t="str">
        <f>"23104"</f>
        <v>23104</v>
      </c>
      <c r="C3131" s="1" t="str">
        <f>"FORT WORTH"</f>
        <v>FORT WORTH</v>
      </c>
      <c r="D3131" s="1" t="str">
        <f t="shared" si="233"/>
        <v>TX</v>
      </c>
      <c r="E3131" s="2">
        <v>1</v>
      </c>
      <c r="F3131" s="2">
        <v>1</v>
      </c>
      <c r="G3131" s="2">
        <v>1</v>
      </c>
      <c r="H3131" s="2">
        <v>1</v>
      </c>
    </row>
    <row r="3132" spans="1:8" x14ac:dyDescent="0.25">
      <c r="A3132" s="1" t="str">
        <f>"76266"</f>
        <v>76266</v>
      </c>
      <c r="B3132" s="1" t="str">
        <f>"19124"</f>
        <v>19124</v>
      </c>
      <c r="C3132" s="1" t="str">
        <f>"SANGER"</f>
        <v>SANGER</v>
      </c>
      <c r="D3132" s="1" t="str">
        <f t="shared" si="233"/>
        <v>TX</v>
      </c>
      <c r="E3132" s="2">
        <v>1</v>
      </c>
      <c r="F3132" s="2">
        <v>1</v>
      </c>
      <c r="G3132" s="2">
        <v>1</v>
      </c>
      <c r="H3132" s="2">
        <v>1</v>
      </c>
    </row>
    <row r="3133" spans="1:8" x14ac:dyDescent="0.25">
      <c r="A3133" s="1" t="str">
        <f>"76487"</f>
        <v>76487</v>
      </c>
      <c r="B3133" s="1" t="str">
        <f>"23104"</f>
        <v>23104</v>
      </c>
      <c r="C3133" s="1" t="str">
        <f>"POOLVILLE"</f>
        <v>POOLVILLE</v>
      </c>
      <c r="D3133" s="1" t="str">
        <f t="shared" si="233"/>
        <v>TX</v>
      </c>
      <c r="E3133" s="2">
        <v>1</v>
      </c>
      <c r="F3133" s="2">
        <v>1</v>
      </c>
      <c r="G3133" s="2">
        <v>1</v>
      </c>
      <c r="H3133" s="2">
        <v>1</v>
      </c>
    </row>
    <row r="3134" spans="1:8" x14ac:dyDescent="0.25">
      <c r="A3134" s="1" t="str">
        <f>"90025"</f>
        <v>90025</v>
      </c>
      <c r="B3134" s="1" t="str">
        <f t="shared" ref="B3134:B3139" si="234">"31084"</f>
        <v>31084</v>
      </c>
      <c r="C3134" s="1" t="str">
        <f>"LOS ANGELES"</f>
        <v>LOS ANGELES</v>
      </c>
      <c r="D3134" s="1" t="str">
        <f t="shared" ref="D3134:D3155" si="235">"CA"</f>
        <v>CA</v>
      </c>
      <c r="E3134" s="2">
        <v>1</v>
      </c>
      <c r="F3134" s="2">
        <v>1</v>
      </c>
      <c r="G3134" s="2">
        <v>1</v>
      </c>
      <c r="H3134" s="2">
        <v>1</v>
      </c>
    </row>
    <row r="3135" spans="1:8" x14ac:dyDescent="0.25">
      <c r="A3135" s="1" t="str">
        <f>"90019"</f>
        <v>90019</v>
      </c>
      <c r="B3135" s="1" t="str">
        <f t="shared" si="234"/>
        <v>31084</v>
      </c>
      <c r="C3135" s="1" t="str">
        <f>"LOS ANGELES"</f>
        <v>LOS ANGELES</v>
      </c>
      <c r="D3135" s="1" t="str">
        <f t="shared" si="235"/>
        <v>CA</v>
      </c>
      <c r="E3135" s="2">
        <v>1</v>
      </c>
      <c r="F3135" s="2">
        <v>1</v>
      </c>
      <c r="G3135" s="2">
        <v>1</v>
      </c>
      <c r="H3135" s="2">
        <v>1</v>
      </c>
    </row>
    <row r="3136" spans="1:8" x14ac:dyDescent="0.25">
      <c r="A3136" s="1" t="str">
        <f>"90066"</f>
        <v>90066</v>
      </c>
      <c r="B3136" s="1" t="str">
        <f t="shared" si="234"/>
        <v>31084</v>
      </c>
      <c r="C3136" s="1" t="str">
        <f>"LOS ANGELES"</f>
        <v>LOS ANGELES</v>
      </c>
      <c r="D3136" s="1" t="str">
        <f t="shared" si="235"/>
        <v>CA</v>
      </c>
      <c r="E3136" s="2">
        <v>1</v>
      </c>
      <c r="F3136" s="2">
        <v>1</v>
      </c>
      <c r="G3136" s="2">
        <v>1</v>
      </c>
      <c r="H3136" s="2">
        <v>1</v>
      </c>
    </row>
    <row r="3137" spans="1:8" x14ac:dyDescent="0.25">
      <c r="A3137" s="1" t="str">
        <f>"90015"</f>
        <v>90015</v>
      </c>
      <c r="B3137" s="1" t="str">
        <f t="shared" si="234"/>
        <v>31084</v>
      </c>
      <c r="C3137" s="1" t="str">
        <f>"LOS ANGELES"</f>
        <v>LOS ANGELES</v>
      </c>
      <c r="D3137" s="1" t="str">
        <f t="shared" si="235"/>
        <v>CA</v>
      </c>
      <c r="E3137" s="2">
        <v>1</v>
      </c>
      <c r="F3137" s="2">
        <v>1</v>
      </c>
      <c r="G3137" s="2">
        <v>1</v>
      </c>
      <c r="H3137" s="2">
        <v>1</v>
      </c>
    </row>
    <row r="3138" spans="1:8" x14ac:dyDescent="0.25">
      <c r="A3138" s="1" t="str">
        <f>"90053"</f>
        <v>90053</v>
      </c>
      <c r="B3138" s="1" t="str">
        <f t="shared" si="234"/>
        <v>31084</v>
      </c>
      <c r="C3138" s="1" t="str">
        <f>"LOS ANGELES"</f>
        <v>LOS ANGELES</v>
      </c>
      <c r="D3138" s="1" t="str">
        <f t="shared" si="235"/>
        <v>CA</v>
      </c>
      <c r="E3138" s="2">
        <v>1</v>
      </c>
      <c r="F3138" s="2">
        <v>1</v>
      </c>
      <c r="G3138" s="2">
        <v>1</v>
      </c>
      <c r="H3138" s="2">
        <v>1</v>
      </c>
    </row>
    <row r="3139" spans="1:8" x14ac:dyDescent="0.25">
      <c r="A3139" s="1" t="str">
        <f>"90260"</f>
        <v>90260</v>
      </c>
      <c r="B3139" s="1" t="str">
        <f t="shared" si="234"/>
        <v>31084</v>
      </c>
      <c r="C3139" s="1" t="str">
        <f>"LAWNDALE"</f>
        <v>LAWNDALE</v>
      </c>
      <c r="D3139" s="1" t="str">
        <f t="shared" si="235"/>
        <v>CA</v>
      </c>
      <c r="E3139" s="2">
        <v>1</v>
      </c>
      <c r="F3139" s="2">
        <v>1</v>
      </c>
      <c r="G3139" s="2">
        <v>1</v>
      </c>
      <c r="H3139" s="2">
        <v>1</v>
      </c>
    </row>
    <row r="3140" spans="1:8" x14ac:dyDescent="0.25">
      <c r="A3140" s="1" t="str">
        <f>"90638"</f>
        <v>90638</v>
      </c>
      <c r="B3140" s="1" t="str">
        <f>"11244"</f>
        <v>11244</v>
      </c>
      <c r="C3140" s="1" t="str">
        <f>"LA MIRADA"</f>
        <v>LA MIRADA</v>
      </c>
      <c r="D3140" s="1" t="str">
        <f t="shared" si="235"/>
        <v>CA</v>
      </c>
      <c r="E3140" s="2">
        <v>9.3701197293076504E-3</v>
      </c>
      <c r="F3140" s="2">
        <v>4.9283154121863702E-2</v>
      </c>
      <c r="G3140" s="2">
        <v>6.6334991708126003E-3</v>
      </c>
      <c r="H3140" s="2">
        <v>1.1880376894715199E-2</v>
      </c>
    </row>
    <row r="3141" spans="1:8" x14ac:dyDescent="0.25">
      <c r="A3141" s="1" t="str">
        <f>"90638"</f>
        <v>90638</v>
      </c>
      <c r="B3141" s="1" t="str">
        <f t="shared" ref="B3141:B3146" si="236">"31084"</f>
        <v>31084</v>
      </c>
      <c r="C3141" s="1" t="str">
        <f>"LA MIRADA"</f>
        <v>LA MIRADA</v>
      </c>
      <c r="D3141" s="1" t="str">
        <f t="shared" si="235"/>
        <v>CA</v>
      </c>
      <c r="E3141" s="2">
        <v>0.99062988027069199</v>
      </c>
      <c r="F3141" s="2">
        <v>0.95071684587813599</v>
      </c>
      <c r="G3141" s="2">
        <v>0.99336650082918698</v>
      </c>
      <c r="H3141" s="2">
        <v>0.98811962310528401</v>
      </c>
    </row>
    <row r="3142" spans="1:8" x14ac:dyDescent="0.25">
      <c r="A3142" s="1" t="str">
        <f>"90606"</f>
        <v>90606</v>
      </c>
      <c r="B3142" s="1" t="str">
        <f t="shared" si="236"/>
        <v>31084</v>
      </c>
      <c r="C3142" s="1" t="str">
        <f>"WHITTIER"</f>
        <v>WHITTIER</v>
      </c>
      <c r="D3142" s="1" t="str">
        <f t="shared" si="235"/>
        <v>CA</v>
      </c>
      <c r="E3142" s="2">
        <v>1</v>
      </c>
      <c r="F3142" s="2">
        <v>1</v>
      </c>
      <c r="G3142" s="2">
        <v>1</v>
      </c>
      <c r="H3142" s="2">
        <v>1</v>
      </c>
    </row>
    <row r="3143" spans="1:8" x14ac:dyDescent="0.25">
      <c r="A3143" s="1" t="str">
        <f>"90305"</f>
        <v>90305</v>
      </c>
      <c r="B3143" s="1" t="str">
        <f t="shared" si="236"/>
        <v>31084</v>
      </c>
      <c r="C3143" s="1" t="str">
        <f>"INGLEWOOD"</f>
        <v>INGLEWOOD</v>
      </c>
      <c r="D3143" s="1" t="str">
        <f t="shared" si="235"/>
        <v>CA</v>
      </c>
      <c r="E3143" s="2">
        <v>1</v>
      </c>
      <c r="F3143" s="2">
        <v>1</v>
      </c>
      <c r="G3143" s="2">
        <v>1</v>
      </c>
      <c r="H3143" s="2">
        <v>1</v>
      </c>
    </row>
    <row r="3144" spans="1:8" x14ac:dyDescent="0.25">
      <c r="A3144" s="1" t="str">
        <f>"90308"</f>
        <v>90308</v>
      </c>
      <c r="B3144" s="1" t="str">
        <f t="shared" si="236"/>
        <v>31084</v>
      </c>
      <c r="C3144" s="1" t="str">
        <f>"INGLEWOOD"</f>
        <v>INGLEWOOD</v>
      </c>
      <c r="D3144" s="1" t="str">
        <f t="shared" si="235"/>
        <v>CA</v>
      </c>
      <c r="E3144" s="2">
        <v>1</v>
      </c>
      <c r="F3144" s="2">
        <v>1</v>
      </c>
      <c r="G3144" s="2">
        <v>1</v>
      </c>
      <c r="H3144" s="2">
        <v>1</v>
      </c>
    </row>
    <row r="3145" spans="1:8" x14ac:dyDescent="0.25">
      <c r="A3145" s="1" t="str">
        <f>"90802"</f>
        <v>90802</v>
      </c>
      <c r="B3145" s="1" t="str">
        <f t="shared" si="236"/>
        <v>31084</v>
      </c>
      <c r="C3145" s="1" t="str">
        <f>"LONG BEACH"</f>
        <v>LONG BEACH</v>
      </c>
      <c r="D3145" s="1" t="str">
        <f t="shared" si="235"/>
        <v>CA</v>
      </c>
      <c r="E3145" s="2">
        <v>1</v>
      </c>
      <c r="F3145" s="2">
        <v>1</v>
      </c>
      <c r="G3145" s="2">
        <v>1</v>
      </c>
      <c r="H3145" s="2">
        <v>1</v>
      </c>
    </row>
    <row r="3146" spans="1:8" x14ac:dyDescent="0.25">
      <c r="A3146" s="1" t="str">
        <f>"93539"</f>
        <v>93539</v>
      </c>
      <c r="B3146" s="1" t="str">
        <f t="shared" si="236"/>
        <v>31084</v>
      </c>
      <c r="C3146" s="1" t="str">
        <f>"LANCASTER"</f>
        <v>LANCASTER</v>
      </c>
      <c r="D3146" s="1" t="str">
        <f t="shared" si="235"/>
        <v>CA</v>
      </c>
      <c r="E3146" s="2">
        <v>1</v>
      </c>
      <c r="F3146" s="2">
        <v>1</v>
      </c>
      <c r="G3146" s="2">
        <v>1</v>
      </c>
      <c r="H3146" s="2">
        <v>1</v>
      </c>
    </row>
    <row r="3147" spans="1:8" x14ac:dyDescent="0.25">
      <c r="A3147" s="1" t="str">
        <f>"92781"</f>
        <v>92781</v>
      </c>
      <c r="B3147" s="1" t="str">
        <f>"11244"</f>
        <v>11244</v>
      </c>
      <c r="C3147" s="1" t="str">
        <f>"TUSTIN"</f>
        <v>TUSTIN</v>
      </c>
      <c r="D3147" s="1" t="str">
        <f t="shared" si="235"/>
        <v>CA</v>
      </c>
      <c r="E3147" s="2">
        <v>1</v>
      </c>
      <c r="F3147" s="2">
        <v>1</v>
      </c>
      <c r="G3147" s="2">
        <v>1</v>
      </c>
      <c r="H3147" s="2">
        <v>1</v>
      </c>
    </row>
    <row r="3148" spans="1:8" x14ac:dyDescent="0.25">
      <c r="A3148" s="1" t="str">
        <f>"92831"</f>
        <v>92831</v>
      </c>
      <c r="B3148" s="1" t="str">
        <f>"11244"</f>
        <v>11244</v>
      </c>
      <c r="C3148" s="1" t="str">
        <f>"FULLERTON"</f>
        <v>FULLERTON</v>
      </c>
      <c r="D3148" s="1" t="str">
        <f t="shared" si="235"/>
        <v>CA</v>
      </c>
      <c r="E3148" s="2">
        <v>1</v>
      </c>
      <c r="F3148" s="2">
        <v>1</v>
      </c>
      <c r="G3148" s="2">
        <v>1</v>
      </c>
      <c r="H3148" s="2">
        <v>1</v>
      </c>
    </row>
    <row r="3149" spans="1:8" x14ac:dyDescent="0.25">
      <c r="A3149" s="1" t="str">
        <f>"92661"</f>
        <v>92661</v>
      </c>
      <c r="B3149" s="1" t="str">
        <f>"11244"</f>
        <v>11244</v>
      </c>
      <c r="C3149" s="1" t="str">
        <f>"NEWPORT BEACH"</f>
        <v>NEWPORT BEACH</v>
      </c>
      <c r="D3149" s="1" t="str">
        <f t="shared" si="235"/>
        <v>CA</v>
      </c>
      <c r="E3149" s="2">
        <v>1</v>
      </c>
      <c r="F3149" s="2">
        <v>1</v>
      </c>
      <c r="G3149" s="2">
        <v>1</v>
      </c>
      <c r="H3149" s="2">
        <v>1</v>
      </c>
    </row>
    <row r="3150" spans="1:8" x14ac:dyDescent="0.25">
      <c r="A3150" s="1" t="str">
        <f>"92619"</f>
        <v>92619</v>
      </c>
      <c r="B3150" s="1" t="str">
        <f>"11244"</f>
        <v>11244</v>
      </c>
      <c r="C3150" s="1" t="str">
        <f>"IRVINE"</f>
        <v>IRVINE</v>
      </c>
      <c r="D3150" s="1" t="str">
        <f t="shared" si="235"/>
        <v>CA</v>
      </c>
      <c r="E3150" s="2">
        <v>1</v>
      </c>
      <c r="F3150" s="2">
        <v>1</v>
      </c>
      <c r="G3150" s="2">
        <v>1</v>
      </c>
      <c r="H3150" s="2">
        <v>1</v>
      </c>
    </row>
    <row r="3151" spans="1:8" x14ac:dyDescent="0.25">
      <c r="A3151" s="1" t="str">
        <f>"94506"</f>
        <v>94506</v>
      </c>
      <c r="B3151" s="1" t="str">
        <f>"36084"</f>
        <v>36084</v>
      </c>
      <c r="C3151" s="1" t="str">
        <f>"DANVILLE"</f>
        <v>DANVILLE</v>
      </c>
      <c r="D3151" s="1" t="str">
        <f t="shared" si="235"/>
        <v>CA</v>
      </c>
      <c r="E3151" s="2">
        <v>1</v>
      </c>
      <c r="F3151" s="2">
        <v>1</v>
      </c>
      <c r="G3151" s="2">
        <v>1</v>
      </c>
      <c r="H3151" s="2">
        <v>1</v>
      </c>
    </row>
    <row r="3152" spans="1:8" x14ac:dyDescent="0.25">
      <c r="A3152" s="1" t="str">
        <f>"94551"</f>
        <v>94551</v>
      </c>
      <c r="B3152" s="1" t="str">
        <f>"36084"</f>
        <v>36084</v>
      </c>
      <c r="C3152" s="1" t="str">
        <f>"LIVERMORE"</f>
        <v>LIVERMORE</v>
      </c>
      <c r="D3152" s="1" t="str">
        <f t="shared" si="235"/>
        <v>CA</v>
      </c>
      <c r="E3152" s="2">
        <v>1</v>
      </c>
      <c r="F3152" s="2">
        <v>1</v>
      </c>
      <c r="G3152" s="2">
        <v>1</v>
      </c>
      <c r="H3152" s="2">
        <v>1</v>
      </c>
    </row>
    <row r="3153" spans="1:8" x14ac:dyDescent="0.25">
      <c r="A3153" s="1" t="str">
        <f>"94566"</f>
        <v>94566</v>
      </c>
      <c r="B3153" s="1" t="str">
        <f>"36084"</f>
        <v>36084</v>
      </c>
      <c r="C3153" s="1" t="str">
        <f>"PLEASANTON"</f>
        <v>PLEASANTON</v>
      </c>
      <c r="D3153" s="1" t="str">
        <f t="shared" si="235"/>
        <v>CA</v>
      </c>
      <c r="E3153" s="2">
        <v>1</v>
      </c>
      <c r="F3153" s="2">
        <v>1</v>
      </c>
      <c r="G3153" s="2">
        <v>1</v>
      </c>
      <c r="H3153" s="2">
        <v>1</v>
      </c>
    </row>
    <row r="3154" spans="1:8" x14ac:dyDescent="0.25">
      <c r="A3154" s="1" t="str">
        <f>"94577"</f>
        <v>94577</v>
      </c>
      <c r="B3154" s="1" t="str">
        <f>"36084"</f>
        <v>36084</v>
      </c>
      <c r="C3154" s="1" t="str">
        <f>"SAN LEANDRO"</f>
        <v>SAN LEANDRO</v>
      </c>
      <c r="D3154" s="1" t="str">
        <f t="shared" si="235"/>
        <v>CA</v>
      </c>
      <c r="E3154" s="2">
        <v>1</v>
      </c>
      <c r="F3154" s="2">
        <v>1</v>
      </c>
      <c r="G3154" s="2">
        <v>1</v>
      </c>
      <c r="H3154" s="2">
        <v>1</v>
      </c>
    </row>
    <row r="3155" spans="1:8" x14ac:dyDescent="0.25">
      <c r="A3155" s="1" t="str">
        <f>"94618"</f>
        <v>94618</v>
      </c>
      <c r="B3155" s="1" t="str">
        <f>"36084"</f>
        <v>36084</v>
      </c>
      <c r="C3155" s="1" t="str">
        <f>"OAKLAND"</f>
        <v>OAKLAND</v>
      </c>
      <c r="D3155" s="1" t="str">
        <f t="shared" si="235"/>
        <v>CA</v>
      </c>
      <c r="E3155" s="2">
        <v>1</v>
      </c>
      <c r="F3155" s="2">
        <v>1</v>
      </c>
      <c r="G3155" s="2">
        <v>1</v>
      </c>
      <c r="H3155" s="2">
        <v>1</v>
      </c>
    </row>
    <row r="3156" spans="1:8" x14ac:dyDescent="0.25">
      <c r="A3156" s="1" t="str">
        <f>"98021"</f>
        <v>98021</v>
      </c>
      <c r="B3156" s="1" t="str">
        <f>"42644"</f>
        <v>42644</v>
      </c>
      <c r="C3156" s="1" t="str">
        <f>"BOTHELL"</f>
        <v>BOTHELL</v>
      </c>
      <c r="D3156" s="1" t="str">
        <f>"WA"</f>
        <v>WA</v>
      </c>
      <c r="E3156" s="2">
        <v>1</v>
      </c>
      <c r="F3156" s="2">
        <v>1</v>
      </c>
      <c r="G3156" s="2">
        <v>1</v>
      </c>
      <c r="H3156" s="2">
        <v>1</v>
      </c>
    </row>
    <row r="3157" spans="1:8" x14ac:dyDescent="0.25">
      <c r="A3157" s="1" t="str">
        <f>"98031"</f>
        <v>98031</v>
      </c>
      <c r="B3157" s="1" t="str">
        <f>"42644"</f>
        <v>42644</v>
      </c>
      <c r="C3157" s="1" t="str">
        <f>"KENT"</f>
        <v>KENT</v>
      </c>
      <c r="D3157" s="1" t="str">
        <f>"WA"</f>
        <v>WA</v>
      </c>
      <c r="E3157" s="2">
        <v>1</v>
      </c>
      <c r="F3157" s="2">
        <v>1</v>
      </c>
      <c r="G3157" s="2">
        <v>1</v>
      </c>
      <c r="H3157" s="2">
        <v>1</v>
      </c>
    </row>
    <row r="3158" spans="1:8" x14ac:dyDescent="0.25">
      <c r="A3158" s="1" t="str">
        <f>"98002"</f>
        <v>98002</v>
      </c>
      <c r="B3158" s="1" t="str">
        <f>"42644"</f>
        <v>42644</v>
      </c>
      <c r="C3158" s="1" t="str">
        <f>"AUBURN"</f>
        <v>AUBURN</v>
      </c>
      <c r="D3158" s="1" t="str">
        <f>"WA"</f>
        <v>WA</v>
      </c>
      <c r="E3158" s="2">
        <v>1</v>
      </c>
      <c r="F3158" s="2">
        <v>1</v>
      </c>
      <c r="G3158" s="2">
        <v>1</v>
      </c>
      <c r="H3158" s="2">
        <v>1</v>
      </c>
    </row>
    <row r="3159" spans="1:8" x14ac:dyDescent="0.25">
      <c r="A3159" s="1" t="str">
        <f>"08001"</f>
        <v>08001</v>
      </c>
      <c r="B3159" s="1" t="str">
        <f>"48864"</f>
        <v>48864</v>
      </c>
      <c r="C3159" s="1" t="str">
        <f>"ALLOWAY"</f>
        <v>ALLOWAY</v>
      </c>
      <c r="D3159" s="1" t="str">
        <f>"NJ"</f>
        <v>NJ</v>
      </c>
      <c r="E3159" s="2">
        <v>1</v>
      </c>
      <c r="F3159" s="2">
        <v>1</v>
      </c>
      <c r="G3159" s="2">
        <v>1</v>
      </c>
      <c r="H3159" s="2">
        <v>1</v>
      </c>
    </row>
    <row r="3160" spans="1:8" x14ac:dyDescent="0.25">
      <c r="A3160" s="1" t="str">
        <f>"08067"</f>
        <v>08067</v>
      </c>
      <c r="B3160" s="1" t="str">
        <f>"48864"</f>
        <v>48864</v>
      </c>
      <c r="C3160" s="1" t="str">
        <f>"PEDRICKTOWN"</f>
        <v>PEDRICKTOWN</v>
      </c>
      <c r="D3160" s="1" t="str">
        <f>"NJ"</f>
        <v>NJ</v>
      </c>
      <c r="E3160" s="2">
        <v>1</v>
      </c>
      <c r="F3160" s="2">
        <v>1</v>
      </c>
      <c r="G3160" s="2">
        <v>1</v>
      </c>
      <c r="H3160" s="2">
        <v>1</v>
      </c>
    </row>
    <row r="3161" spans="1:8" x14ac:dyDescent="0.25">
      <c r="A3161" s="1" t="str">
        <f>"10176"</f>
        <v>10176</v>
      </c>
      <c r="B3161" s="1" t="str">
        <f>"35614"</f>
        <v>35614</v>
      </c>
      <c r="C3161" s="1" t="str">
        <f>"NEW YORK"</f>
        <v>NEW YORK</v>
      </c>
      <c r="D3161" s="1" t="str">
        <f>"NY"</f>
        <v>NY</v>
      </c>
      <c r="E3161" s="2">
        <v>0</v>
      </c>
      <c r="F3161" s="2">
        <v>1</v>
      </c>
      <c r="G3161" s="2">
        <v>1</v>
      </c>
      <c r="H3161" s="2">
        <v>1</v>
      </c>
    </row>
    <row r="3162" spans="1:8" x14ac:dyDescent="0.25">
      <c r="A3162" s="1" t="str">
        <f>"10185"</f>
        <v>10185</v>
      </c>
      <c r="B3162" s="1" t="str">
        <f>"35614"</f>
        <v>35614</v>
      </c>
      <c r="C3162" s="1" t="str">
        <f>"NEW YORK"</f>
        <v>NEW YORK</v>
      </c>
      <c r="D3162" s="1" t="str">
        <f>"NY"</f>
        <v>NY</v>
      </c>
      <c r="E3162" s="2">
        <v>1</v>
      </c>
      <c r="F3162" s="2">
        <v>1</v>
      </c>
      <c r="G3162" s="2">
        <v>1</v>
      </c>
      <c r="H3162" s="2">
        <v>1</v>
      </c>
    </row>
    <row r="3163" spans="1:8" x14ac:dyDescent="0.25">
      <c r="A3163" s="1" t="str">
        <f>"10159"</f>
        <v>10159</v>
      </c>
      <c r="B3163" s="1" t="str">
        <f>"35614"</f>
        <v>35614</v>
      </c>
      <c r="C3163" s="1" t="str">
        <f>"NEW YORK"</f>
        <v>NEW YORK</v>
      </c>
      <c r="D3163" s="1" t="str">
        <f>"NY"</f>
        <v>NY</v>
      </c>
      <c r="E3163" s="2">
        <v>1</v>
      </c>
      <c r="F3163" s="2">
        <v>1</v>
      </c>
      <c r="G3163" s="2">
        <v>1</v>
      </c>
      <c r="H3163" s="2">
        <v>1</v>
      </c>
    </row>
    <row r="3164" spans="1:8" x14ac:dyDescent="0.25">
      <c r="A3164" s="1" t="str">
        <f>"10802"</f>
        <v>10802</v>
      </c>
      <c r="B3164" s="1" t="str">
        <f>"35614"</f>
        <v>35614</v>
      </c>
      <c r="C3164" s="1" t="str">
        <f>"NEW ROCHELLE"</f>
        <v>NEW ROCHELLE</v>
      </c>
      <c r="D3164" s="1" t="str">
        <f>"NY"</f>
        <v>NY</v>
      </c>
      <c r="E3164" s="2">
        <v>1</v>
      </c>
      <c r="F3164" s="2">
        <v>1</v>
      </c>
      <c r="G3164" s="2">
        <v>1</v>
      </c>
      <c r="H3164" s="2">
        <v>1</v>
      </c>
    </row>
    <row r="3165" spans="1:8" x14ac:dyDescent="0.25">
      <c r="A3165" s="1" t="str">
        <f>"75187"</f>
        <v>75187</v>
      </c>
      <c r="B3165" s="1" t="str">
        <f>"19124"</f>
        <v>19124</v>
      </c>
      <c r="C3165" s="1" t="str">
        <f>"MESQUITE"</f>
        <v>MESQUITE</v>
      </c>
      <c r="D3165" s="1" t="str">
        <f>"TX"</f>
        <v>TX</v>
      </c>
      <c r="E3165" s="2">
        <v>1</v>
      </c>
      <c r="F3165" s="2">
        <v>1</v>
      </c>
      <c r="G3165" s="2">
        <v>1</v>
      </c>
      <c r="H3165" s="2">
        <v>1</v>
      </c>
    </row>
    <row r="3166" spans="1:8" x14ac:dyDescent="0.25">
      <c r="A3166" s="1" t="str">
        <f>"76490"</f>
        <v>76490</v>
      </c>
      <c r="B3166" s="1" t="str">
        <f>"23104"</f>
        <v>23104</v>
      </c>
      <c r="C3166" s="1" t="str">
        <f>"WHITT"</f>
        <v>WHITT</v>
      </c>
      <c r="D3166" s="1" t="str">
        <f>"TX"</f>
        <v>TX</v>
      </c>
      <c r="E3166" s="2">
        <v>1</v>
      </c>
      <c r="F3166" s="2">
        <v>1</v>
      </c>
      <c r="G3166" s="2">
        <v>1</v>
      </c>
      <c r="H3166" s="2">
        <v>1</v>
      </c>
    </row>
    <row r="3167" spans="1:8" x14ac:dyDescent="0.25">
      <c r="A3167" s="1" t="str">
        <f>"91357"</f>
        <v>91357</v>
      </c>
      <c r="B3167" s="1" t="str">
        <f>"31084"</f>
        <v>31084</v>
      </c>
      <c r="C3167" s="1" t="str">
        <f>"TARZANA"</f>
        <v>TARZANA</v>
      </c>
      <c r="D3167" s="1" t="str">
        <f>"CA"</f>
        <v>CA</v>
      </c>
      <c r="E3167" s="2">
        <v>1</v>
      </c>
      <c r="F3167" s="2">
        <v>1</v>
      </c>
      <c r="G3167" s="2">
        <v>1</v>
      </c>
      <c r="H3167" s="2">
        <v>1</v>
      </c>
    </row>
    <row r="3168" spans="1:8" x14ac:dyDescent="0.25">
      <c r="A3168" s="1" t="str">
        <f>"94970"</f>
        <v>94970</v>
      </c>
      <c r="B3168" s="1" t="str">
        <f>"42034"</f>
        <v>42034</v>
      </c>
      <c r="C3168" s="1" t="str">
        <f>"STINSON BEACH"</f>
        <v>STINSON BEACH</v>
      </c>
      <c r="D3168" s="1" t="str">
        <f>"CA"</f>
        <v>CA</v>
      </c>
      <c r="E3168" s="2">
        <v>1</v>
      </c>
      <c r="F3168" s="2">
        <v>1</v>
      </c>
      <c r="G3168" s="2">
        <v>1</v>
      </c>
      <c r="H3168" s="2">
        <v>1</v>
      </c>
    </row>
    <row r="3169" spans="1:8" x14ac:dyDescent="0.25">
      <c r="A3169" s="1" t="str">
        <f>"98050"</f>
        <v>98050</v>
      </c>
      <c r="B3169" s="1" t="str">
        <f>"42644"</f>
        <v>42644</v>
      </c>
      <c r="C3169" s="1" t="str">
        <f>"PRESTON"</f>
        <v>PRESTON</v>
      </c>
      <c r="D3169" s="1" t="str">
        <f>"WA"</f>
        <v>WA</v>
      </c>
      <c r="E3169" s="2">
        <v>1</v>
      </c>
      <c r="F3169" s="2">
        <v>1</v>
      </c>
      <c r="G3169" s="2">
        <v>1</v>
      </c>
      <c r="H3169" s="2">
        <v>1</v>
      </c>
    </row>
    <row r="3170" spans="1:8" x14ac:dyDescent="0.25">
      <c r="A3170" s="1" t="str">
        <f>"02325"</f>
        <v>02325</v>
      </c>
      <c r="B3170" s="1" t="str">
        <f>"14454"</f>
        <v>14454</v>
      </c>
      <c r="C3170" s="1" t="str">
        <f>"BRIDGEWATER"</f>
        <v>BRIDGEWATER</v>
      </c>
      <c r="D3170" s="1" t="str">
        <f>"MA"</f>
        <v>MA</v>
      </c>
      <c r="E3170" s="2">
        <v>0</v>
      </c>
      <c r="F3170" s="2">
        <v>1</v>
      </c>
      <c r="G3170" s="2">
        <v>0</v>
      </c>
      <c r="H3170" s="2">
        <v>1</v>
      </c>
    </row>
    <row r="3171" spans="1:8" x14ac:dyDescent="0.25">
      <c r="A3171" s="1" t="str">
        <f>"11247"</f>
        <v>11247</v>
      </c>
      <c r="B3171" s="1" t="str">
        <f>"35614"</f>
        <v>35614</v>
      </c>
      <c r="C3171" s="1" t="str">
        <f>"BROOKLYN"</f>
        <v>BROOKLYN</v>
      </c>
      <c r="D3171" s="1" t="str">
        <f>"NY"</f>
        <v>NY</v>
      </c>
      <c r="E3171" s="2">
        <v>1</v>
      </c>
      <c r="F3171" s="2">
        <v>1</v>
      </c>
      <c r="G3171" s="2">
        <v>1</v>
      </c>
      <c r="H3171" s="2">
        <v>1</v>
      </c>
    </row>
    <row r="3172" spans="1:8" x14ac:dyDescent="0.25">
      <c r="A3172" s="1" t="str">
        <f>"11571"</f>
        <v>11571</v>
      </c>
      <c r="B3172" s="1" t="str">
        <f>"35004"</f>
        <v>35004</v>
      </c>
      <c r="C3172" s="1" t="str">
        <f>"ROCKVILLE CENTRE"</f>
        <v>ROCKVILLE CENTRE</v>
      </c>
      <c r="D3172" s="1" t="str">
        <f>"NY"</f>
        <v>NY</v>
      </c>
      <c r="E3172" s="2">
        <v>1</v>
      </c>
      <c r="F3172" s="2">
        <v>1</v>
      </c>
      <c r="G3172" s="2">
        <v>1</v>
      </c>
      <c r="H3172" s="2">
        <v>1</v>
      </c>
    </row>
    <row r="3173" spans="1:8" x14ac:dyDescent="0.25">
      <c r="A3173" s="1" t="str">
        <f>"90506"</f>
        <v>90506</v>
      </c>
      <c r="B3173" s="1" t="str">
        <f>"31084"</f>
        <v>31084</v>
      </c>
      <c r="C3173" s="1" t="str">
        <f>"TORRANCE"</f>
        <v>TORRANCE</v>
      </c>
      <c r="D3173" s="1" t="str">
        <f>"CA"</f>
        <v>CA</v>
      </c>
      <c r="E3173" s="2">
        <v>0</v>
      </c>
      <c r="F3173" s="2">
        <v>1</v>
      </c>
      <c r="G3173" s="2">
        <v>1</v>
      </c>
      <c r="H3173" s="2">
        <v>1</v>
      </c>
    </row>
    <row r="3174" spans="1:8" x14ac:dyDescent="0.25">
      <c r="A3174" s="1" t="str">
        <f>"92711"</f>
        <v>92711</v>
      </c>
      <c r="B3174" s="1" t="str">
        <f>"11244"</f>
        <v>11244</v>
      </c>
      <c r="C3174" s="1" t="str">
        <f>"SANTA ANA"</f>
        <v>SANTA ANA</v>
      </c>
      <c r="D3174" s="1" t="str">
        <f>"CA"</f>
        <v>CA</v>
      </c>
      <c r="E3174" s="2">
        <v>1</v>
      </c>
      <c r="F3174" s="2">
        <v>1</v>
      </c>
      <c r="G3174" s="2">
        <v>1</v>
      </c>
      <c r="H3174" s="2">
        <v>1</v>
      </c>
    </row>
    <row r="3175" spans="1:8" x14ac:dyDescent="0.25">
      <c r="A3175" s="1" t="str">
        <f>"08511"</f>
        <v>08511</v>
      </c>
      <c r="B3175" s="1" t="str">
        <f>"15804"</f>
        <v>15804</v>
      </c>
      <c r="C3175" s="1" t="str">
        <f>"COOKSTOWN"</f>
        <v>COOKSTOWN</v>
      </c>
      <c r="D3175" s="1" t="str">
        <f>"NJ"</f>
        <v>NJ</v>
      </c>
      <c r="E3175" s="2">
        <v>1</v>
      </c>
      <c r="F3175" s="2">
        <v>1</v>
      </c>
      <c r="G3175" s="2">
        <v>1</v>
      </c>
      <c r="H3175" s="2">
        <v>1</v>
      </c>
    </row>
    <row r="3176" spans="1:8" x14ac:dyDescent="0.25">
      <c r="A3176" s="1" t="str">
        <f>"60550"</f>
        <v>60550</v>
      </c>
      <c r="B3176" s="1" t="str">
        <f>"20994"</f>
        <v>20994</v>
      </c>
      <c r="C3176" s="1" t="str">
        <f>"SHABBONA"</f>
        <v>SHABBONA</v>
      </c>
      <c r="D3176" s="1" t="str">
        <f>"IL"</f>
        <v>IL</v>
      </c>
      <c r="E3176" s="2">
        <v>1</v>
      </c>
      <c r="F3176" s="2">
        <v>1</v>
      </c>
      <c r="G3176" s="2">
        <v>1</v>
      </c>
      <c r="H3176" s="2">
        <v>1</v>
      </c>
    </row>
    <row r="3177" spans="1:8" x14ac:dyDescent="0.25">
      <c r="A3177" s="1" t="str">
        <f>"91407"</f>
        <v>91407</v>
      </c>
      <c r="B3177" s="1" t="str">
        <f>"31084"</f>
        <v>31084</v>
      </c>
      <c r="C3177" s="1" t="str">
        <f>"VAN NUYS"</f>
        <v>VAN NUYS</v>
      </c>
      <c r="D3177" s="1" t="str">
        <f>"CA"</f>
        <v>CA</v>
      </c>
      <c r="E3177" s="2">
        <v>1</v>
      </c>
      <c r="F3177" s="2">
        <v>1</v>
      </c>
      <c r="G3177" s="2">
        <v>1</v>
      </c>
      <c r="H3177" s="2">
        <v>1</v>
      </c>
    </row>
    <row r="3178" spans="1:8" x14ac:dyDescent="0.25">
      <c r="A3178" s="1" t="str">
        <f>"98114"</f>
        <v>98114</v>
      </c>
      <c r="B3178" s="1" t="str">
        <f>"42644"</f>
        <v>42644</v>
      </c>
      <c r="C3178" s="1" t="str">
        <f>"SEATTLE"</f>
        <v>SEATTLE</v>
      </c>
      <c r="D3178" s="1" t="str">
        <f>"WA"</f>
        <v>WA</v>
      </c>
      <c r="E3178" s="2">
        <v>1</v>
      </c>
      <c r="F3178" s="2">
        <v>1</v>
      </c>
      <c r="G3178" s="2">
        <v>1</v>
      </c>
      <c r="H3178" s="2">
        <v>1</v>
      </c>
    </row>
    <row r="3179" spans="1:8" x14ac:dyDescent="0.25">
      <c r="A3179" s="1" t="str">
        <f>"10174"</f>
        <v>10174</v>
      </c>
      <c r="B3179" s="1" t="str">
        <f>"35614"</f>
        <v>35614</v>
      </c>
      <c r="C3179" s="1" t="str">
        <f>"NEW YORK"</f>
        <v>NEW YORK</v>
      </c>
      <c r="D3179" s="1" t="str">
        <f>"NY"</f>
        <v>NY</v>
      </c>
      <c r="E3179" s="2">
        <v>0</v>
      </c>
      <c r="F3179" s="2">
        <v>1</v>
      </c>
      <c r="G3179" s="2">
        <v>1</v>
      </c>
      <c r="H3179" s="2">
        <v>1</v>
      </c>
    </row>
    <row r="3180" spans="1:8" x14ac:dyDescent="0.25">
      <c r="A3180" s="1" t="str">
        <f>"20916"</f>
        <v>20916</v>
      </c>
      <c r="B3180" s="1" t="str">
        <f>"23224"</f>
        <v>23224</v>
      </c>
      <c r="C3180" s="1" t="str">
        <f>"SILVER SPRING"</f>
        <v>SILVER SPRING</v>
      </c>
      <c r="D3180" s="1" t="str">
        <f>"MD"</f>
        <v>MD</v>
      </c>
      <c r="E3180" s="2">
        <v>1</v>
      </c>
      <c r="F3180" s="2">
        <v>1</v>
      </c>
      <c r="G3180" s="2">
        <v>1</v>
      </c>
      <c r="H3180" s="2">
        <v>1</v>
      </c>
    </row>
    <row r="3181" spans="1:8" x14ac:dyDescent="0.25">
      <c r="A3181" s="1" t="str">
        <f>"60437"</f>
        <v>60437</v>
      </c>
      <c r="B3181" s="1" t="str">
        <f>"16984"</f>
        <v>16984</v>
      </c>
      <c r="C3181" s="1" t="str">
        <f>"KINSMAN"</f>
        <v>KINSMAN</v>
      </c>
      <c r="D3181" s="1" t="str">
        <f>"IL"</f>
        <v>IL</v>
      </c>
      <c r="E3181" s="2">
        <v>1</v>
      </c>
      <c r="F3181" s="2">
        <v>1</v>
      </c>
      <c r="G3181" s="2">
        <v>0</v>
      </c>
      <c r="H3181" s="2">
        <v>1</v>
      </c>
    </row>
    <row r="3182" spans="1:8" x14ac:dyDescent="0.25">
      <c r="A3182" s="1" t="str">
        <f>"91021"</f>
        <v>91021</v>
      </c>
      <c r="B3182" s="1" t="str">
        <f>"31084"</f>
        <v>31084</v>
      </c>
      <c r="C3182" s="1" t="str">
        <f>"MONTROSE"</f>
        <v>MONTROSE</v>
      </c>
      <c r="D3182" s="1" t="str">
        <f>"CA"</f>
        <v>CA</v>
      </c>
      <c r="E3182" s="2">
        <v>1</v>
      </c>
      <c r="F3182" s="2">
        <v>1</v>
      </c>
      <c r="G3182" s="2">
        <v>1</v>
      </c>
      <c r="H3182" s="2">
        <v>1</v>
      </c>
    </row>
    <row r="3183" spans="1:8" x14ac:dyDescent="0.25">
      <c r="A3183" s="1" t="str">
        <f>"02201"</f>
        <v>02201</v>
      </c>
      <c r="B3183" s="1" t="str">
        <f>"14454"</f>
        <v>14454</v>
      </c>
      <c r="C3183" s="1" t="str">
        <f>"BOSTON"</f>
        <v>BOSTON</v>
      </c>
      <c r="D3183" s="1" t="str">
        <f>"MA"</f>
        <v>MA</v>
      </c>
      <c r="E3183" s="2">
        <v>0</v>
      </c>
      <c r="F3183" s="2">
        <v>1</v>
      </c>
      <c r="G3183" s="2">
        <v>1</v>
      </c>
      <c r="H3183" s="2">
        <v>1</v>
      </c>
    </row>
    <row r="3184" spans="1:8" x14ac:dyDescent="0.25">
      <c r="A3184" s="1" t="str">
        <f>"75085"</f>
        <v>75085</v>
      </c>
      <c r="B3184" s="1" t="str">
        <f>"19124"</f>
        <v>19124</v>
      </c>
      <c r="C3184" s="1" t="str">
        <f>"RICHARDSON"</f>
        <v>RICHARDSON</v>
      </c>
      <c r="D3184" s="1" t="str">
        <f>"TX"</f>
        <v>TX</v>
      </c>
      <c r="E3184" s="2">
        <v>1</v>
      </c>
      <c r="F3184" s="2">
        <v>1</v>
      </c>
      <c r="G3184" s="2">
        <v>1</v>
      </c>
      <c r="H3184" s="2">
        <v>1</v>
      </c>
    </row>
    <row r="3185" spans="1:8" x14ac:dyDescent="0.25">
      <c r="A3185" s="1" t="str">
        <f>"90608"</f>
        <v>90608</v>
      </c>
      <c r="B3185" s="1" t="str">
        <f>"31084"</f>
        <v>31084</v>
      </c>
      <c r="C3185" s="1" t="str">
        <f>"WHITTIER"</f>
        <v>WHITTIER</v>
      </c>
      <c r="D3185" s="1" t="str">
        <f>"CA"</f>
        <v>CA</v>
      </c>
      <c r="E3185" s="2">
        <v>1</v>
      </c>
      <c r="F3185" s="2">
        <v>1</v>
      </c>
      <c r="G3185" s="2">
        <v>1</v>
      </c>
      <c r="H3185" s="2">
        <v>1</v>
      </c>
    </row>
    <row r="3186" spans="1:8" x14ac:dyDescent="0.25">
      <c r="A3186" s="1" t="str">
        <f>"90609"</f>
        <v>90609</v>
      </c>
      <c r="B3186" s="1" t="str">
        <f>"31084"</f>
        <v>31084</v>
      </c>
      <c r="C3186" s="1" t="str">
        <f>"WHITTIER"</f>
        <v>WHITTIER</v>
      </c>
      <c r="D3186" s="1" t="str">
        <f>"CA"</f>
        <v>CA</v>
      </c>
      <c r="E3186" s="2">
        <v>1</v>
      </c>
      <c r="F3186" s="2">
        <v>1</v>
      </c>
      <c r="G3186" s="2">
        <v>1</v>
      </c>
      <c r="H3186" s="2">
        <v>1</v>
      </c>
    </row>
    <row r="3187" spans="1:8" x14ac:dyDescent="0.25">
      <c r="A3187" s="1" t="str">
        <f>"98224"</f>
        <v>98224</v>
      </c>
      <c r="B3187" s="1" t="str">
        <f>"42644"</f>
        <v>42644</v>
      </c>
      <c r="C3187" s="1" t="str">
        <f>"BARING"</f>
        <v>BARING</v>
      </c>
      <c r="D3187" s="1" t="str">
        <f>"WA"</f>
        <v>WA</v>
      </c>
      <c r="E3187" s="2">
        <v>0</v>
      </c>
      <c r="F3187" s="2">
        <v>1</v>
      </c>
      <c r="G3187" s="2">
        <v>1</v>
      </c>
      <c r="H3187" s="2">
        <v>1</v>
      </c>
    </row>
    <row r="3188" spans="1:8" x14ac:dyDescent="0.25">
      <c r="A3188" s="1" t="str">
        <f>"03843"</f>
        <v>03843</v>
      </c>
      <c r="B3188" s="1" t="str">
        <f>"40484"</f>
        <v>40484</v>
      </c>
      <c r="C3188" s="1" t="str">
        <f>"HAMPTON"</f>
        <v>HAMPTON</v>
      </c>
      <c r="D3188" s="1" t="str">
        <f>"NH"</f>
        <v>NH</v>
      </c>
      <c r="E3188" s="2">
        <v>1</v>
      </c>
      <c r="F3188" s="2">
        <v>1</v>
      </c>
      <c r="G3188" s="2">
        <v>1</v>
      </c>
      <c r="H3188" s="2">
        <v>1</v>
      </c>
    </row>
    <row r="3189" spans="1:8" x14ac:dyDescent="0.25">
      <c r="A3189" s="1" t="str">
        <f>"48361"</f>
        <v>48361</v>
      </c>
      <c r="B3189" s="1" t="str">
        <f>"47664"</f>
        <v>47664</v>
      </c>
      <c r="C3189" s="1" t="str">
        <f>"LAKE ORION"</f>
        <v>LAKE ORION</v>
      </c>
      <c r="D3189" s="1" t="str">
        <f>"MI"</f>
        <v>MI</v>
      </c>
      <c r="E3189" s="2">
        <v>1</v>
      </c>
      <c r="F3189" s="2">
        <v>1</v>
      </c>
      <c r="G3189" s="2">
        <v>1</v>
      </c>
      <c r="H3189" s="2">
        <v>1</v>
      </c>
    </row>
    <row r="3190" spans="1:8" x14ac:dyDescent="0.25">
      <c r="A3190" s="1" t="str">
        <f>"22121"</f>
        <v>22121</v>
      </c>
      <c r="B3190" s="1" t="str">
        <f>"47894"</f>
        <v>47894</v>
      </c>
      <c r="C3190" s="1" t="str">
        <f>"MOUNT VERNON"</f>
        <v>MOUNT VERNON</v>
      </c>
      <c r="D3190" s="1" t="str">
        <f>"VA"</f>
        <v>VA</v>
      </c>
      <c r="E3190" s="2">
        <v>1</v>
      </c>
      <c r="F3190" s="2">
        <v>1</v>
      </c>
      <c r="G3190" s="2">
        <v>1</v>
      </c>
      <c r="H3190" s="2">
        <v>1</v>
      </c>
    </row>
    <row r="3191" spans="1:8" x14ac:dyDescent="0.25">
      <c r="A3191" s="1" t="str">
        <f>"20065"</f>
        <v>20065</v>
      </c>
      <c r="B3191" s="1" t="str">
        <f>"47894"</f>
        <v>47894</v>
      </c>
      <c r="C3191" s="1" t="str">
        <f>"WASHINGTON"</f>
        <v>WASHINGTON</v>
      </c>
      <c r="D3191" s="1" t="str">
        <f>"DC"</f>
        <v>DC</v>
      </c>
      <c r="E3191" s="2">
        <v>0</v>
      </c>
      <c r="F3191" s="2">
        <v>1</v>
      </c>
      <c r="G3191" s="2">
        <v>0</v>
      </c>
      <c r="H3191" s="2">
        <v>1</v>
      </c>
    </row>
    <row r="3192" spans="1:8" x14ac:dyDescent="0.25">
      <c r="A3192" s="1" t="str">
        <f>"48439"</f>
        <v>48439</v>
      </c>
      <c r="B3192" s="1" t="str">
        <f>"47664"</f>
        <v>47664</v>
      </c>
      <c r="C3192" s="1" t="str">
        <f>"GRAND BLANC"</f>
        <v>GRAND BLANC</v>
      </c>
      <c r="D3192" s="1" t="str">
        <f>"MI"</f>
        <v>MI</v>
      </c>
      <c r="E3192" s="2">
        <v>1</v>
      </c>
      <c r="F3192" s="2">
        <v>1</v>
      </c>
      <c r="G3192" s="2">
        <v>0</v>
      </c>
      <c r="H3192" s="2">
        <v>1</v>
      </c>
    </row>
    <row r="3193" spans="1:8" x14ac:dyDescent="0.25">
      <c r="A3193" s="1" t="str">
        <f>"07710"</f>
        <v>07710</v>
      </c>
      <c r="B3193" s="1" t="str">
        <f>"35154"</f>
        <v>35154</v>
      </c>
      <c r="C3193" s="1" t="str">
        <f>"ADELPHIA"</f>
        <v>ADELPHIA</v>
      </c>
      <c r="D3193" s="1" t="str">
        <f>"NJ"</f>
        <v>NJ</v>
      </c>
      <c r="E3193" s="2">
        <v>1</v>
      </c>
      <c r="F3193" s="2">
        <v>1</v>
      </c>
      <c r="G3193" s="2">
        <v>1</v>
      </c>
      <c r="H3193" s="2">
        <v>1</v>
      </c>
    </row>
    <row r="3194" spans="1:8" x14ac:dyDescent="0.25">
      <c r="A3194" s="1" t="str">
        <f>"94914"</f>
        <v>94914</v>
      </c>
      <c r="B3194" s="1" t="str">
        <f>"42034"</f>
        <v>42034</v>
      </c>
      <c r="C3194" s="1" t="str">
        <f>"KENTFIELD"</f>
        <v>KENTFIELD</v>
      </c>
      <c r="D3194" s="1" t="str">
        <f>"CA"</f>
        <v>CA</v>
      </c>
      <c r="E3194" s="2">
        <v>1</v>
      </c>
      <c r="F3194" s="2">
        <v>1</v>
      </c>
      <c r="G3194" s="2">
        <v>1</v>
      </c>
      <c r="H3194" s="2">
        <v>1</v>
      </c>
    </row>
    <row r="3195" spans="1:8" x14ac:dyDescent="0.25">
      <c r="A3195" s="1" t="str">
        <f>"60196"</f>
        <v>60196</v>
      </c>
      <c r="B3195" s="1" t="str">
        <f>"16984"</f>
        <v>16984</v>
      </c>
      <c r="C3195" s="1" t="str">
        <f>"SCHAUMBURG"</f>
        <v>SCHAUMBURG</v>
      </c>
      <c r="D3195" s="1" t="str">
        <f>"IL"</f>
        <v>IL</v>
      </c>
      <c r="E3195" s="2">
        <v>0</v>
      </c>
      <c r="F3195" s="2">
        <v>1</v>
      </c>
      <c r="G3195" s="2">
        <v>1</v>
      </c>
      <c r="H3195" s="2">
        <v>1</v>
      </c>
    </row>
    <row r="3196" spans="1:8" x14ac:dyDescent="0.25">
      <c r="A3196" s="1" t="str">
        <f>"46348"</f>
        <v>46348</v>
      </c>
      <c r="B3196" s="1" t="str">
        <f>"23844"</f>
        <v>23844</v>
      </c>
      <c r="C3196" s="1" t="str">
        <f>"LA CROSSE"</f>
        <v>LA CROSSE</v>
      </c>
      <c r="D3196" s="1" t="str">
        <f>"IN"</f>
        <v>IN</v>
      </c>
      <c r="E3196" s="2">
        <v>1</v>
      </c>
      <c r="F3196" s="2">
        <v>0</v>
      </c>
      <c r="G3196" s="2">
        <v>0</v>
      </c>
      <c r="H3196" s="2">
        <v>1</v>
      </c>
    </row>
    <row r="3197" spans="1:8" x14ac:dyDescent="0.25">
      <c r="A3197" s="1" t="str">
        <f>"91185"</f>
        <v>91185</v>
      </c>
      <c r="B3197" s="1" t="str">
        <f>"31084"</f>
        <v>31084</v>
      </c>
      <c r="C3197" s="1" t="str">
        <f>"PASADENA"</f>
        <v>PASADENA</v>
      </c>
      <c r="D3197" s="1" t="str">
        <f>"CA"</f>
        <v>CA</v>
      </c>
      <c r="E3197" s="2">
        <v>0</v>
      </c>
      <c r="F3197" s="2">
        <v>0</v>
      </c>
      <c r="G3197" s="2">
        <v>1</v>
      </c>
      <c r="H3197" s="2">
        <v>1</v>
      </c>
    </row>
    <row r="3198" spans="1:8" x14ac:dyDescent="0.25">
      <c r="A3198" s="1" t="str">
        <f>"33191"</f>
        <v>33191</v>
      </c>
      <c r="B3198" s="1" t="str">
        <f>"33124"</f>
        <v>33124</v>
      </c>
      <c r="C3198" s="1" t="str">
        <f>"MIAMI"</f>
        <v>MIAMI</v>
      </c>
      <c r="D3198" s="1" t="str">
        <f>"FL"</f>
        <v>FL</v>
      </c>
      <c r="E3198" s="2">
        <v>0</v>
      </c>
      <c r="F3198" s="2">
        <v>1</v>
      </c>
      <c r="G3198" s="2">
        <v>1</v>
      </c>
      <c r="H3198" s="2">
        <v>1</v>
      </c>
    </row>
    <row r="3199" spans="1:8" x14ac:dyDescent="0.25">
      <c r="A3199" s="1" t="str">
        <f>"75260"</f>
        <v>75260</v>
      </c>
      <c r="B3199" s="1" t="str">
        <f>"19124"</f>
        <v>19124</v>
      </c>
      <c r="C3199" s="1" t="str">
        <f>"DALLAS"</f>
        <v>DALLAS</v>
      </c>
      <c r="D3199" s="1" t="str">
        <f>"TX"</f>
        <v>TX</v>
      </c>
      <c r="E3199" s="2">
        <v>0</v>
      </c>
      <c r="F3199" s="2">
        <v>1</v>
      </c>
      <c r="G3199" s="2">
        <v>0</v>
      </c>
      <c r="H3199" s="2">
        <v>1</v>
      </c>
    </row>
    <row r="3200" spans="1:8" x14ac:dyDescent="0.25">
      <c r="A3200" s="1" t="str">
        <f>"20215"</f>
        <v>20215</v>
      </c>
      <c r="B3200" s="1" t="str">
        <f>"47894"</f>
        <v>47894</v>
      </c>
      <c r="C3200" s="1" t="str">
        <f>"WASHINGTON"</f>
        <v>WASHINGTON</v>
      </c>
      <c r="D3200" s="1" t="str">
        <f>"DC"</f>
        <v>DC</v>
      </c>
      <c r="E3200" s="2">
        <v>0</v>
      </c>
      <c r="F3200" s="2">
        <v>1</v>
      </c>
      <c r="G3200" s="2">
        <v>0</v>
      </c>
      <c r="H3200" s="2">
        <v>1</v>
      </c>
    </row>
    <row r="3201" spans="1:8" x14ac:dyDescent="0.25">
      <c r="A3201" s="1" t="str">
        <f>"33499"</f>
        <v>33499</v>
      </c>
      <c r="B3201" s="1" t="str">
        <f>"48424"</f>
        <v>48424</v>
      </c>
      <c r="C3201" s="1" t="str">
        <f>"BOCA RATON"</f>
        <v>BOCA RATON</v>
      </c>
      <c r="D3201" s="1" t="str">
        <f>"FL"</f>
        <v>FL</v>
      </c>
      <c r="E3201" s="2">
        <v>0</v>
      </c>
      <c r="F3201" s="2">
        <v>1</v>
      </c>
      <c r="G3201" s="2">
        <v>0</v>
      </c>
      <c r="H3201" s="2">
        <v>1</v>
      </c>
    </row>
    <row r="3202" spans="1:8" x14ac:dyDescent="0.25">
      <c r="A3202" s="1" t="str">
        <f>"02348"</f>
        <v>02348</v>
      </c>
      <c r="B3202" s="1" t="str">
        <f>"14454"</f>
        <v>14454</v>
      </c>
      <c r="C3202" s="1" t="str">
        <f>"LAKEVILLE"</f>
        <v>LAKEVILLE</v>
      </c>
      <c r="D3202" s="1" t="str">
        <f>"MA"</f>
        <v>MA</v>
      </c>
      <c r="E3202" s="2">
        <v>0</v>
      </c>
      <c r="F3202" s="2">
        <v>1</v>
      </c>
      <c r="G3202" s="2">
        <v>0</v>
      </c>
      <c r="H3202" s="2">
        <v>1</v>
      </c>
    </row>
    <row r="3203" spans="1:8" x14ac:dyDescent="0.25">
      <c r="A3203" s="1" t="str">
        <f>"76199"</f>
        <v>76199</v>
      </c>
      <c r="B3203" s="1" t="str">
        <f>"23104"</f>
        <v>23104</v>
      </c>
      <c r="C3203" s="1" t="str">
        <f>"FORT WORTH"</f>
        <v>FORT WORTH</v>
      </c>
      <c r="D3203" s="1" t="str">
        <f>"TX"</f>
        <v>TX</v>
      </c>
      <c r="E3203" s="2">
        <v>0</v>
      </c>
      <c r="F3203" s="2">
        <v>1</v>
      </c>
      <c r="G3203" s="2">
        <v>0</v>
      </c>
      <c r="H3203" s="2">
        <v>1</v>
      </c>
    </row>
    <row r="3204" spans="1:8" x14ac:dyDescent="0.25">
      <c r="A3204" s="1" t="str">
        <f>"91710"</f>
        <v>91710</v>
      </c>
      <c r="B3204" s="1" t="str">
        <f>"31084"</f>
        <v>31084</v>
      </c>
      <c r="C3204" s="1" t="str">
        <f>"CHINO"</f>
        <v>CHINO</v>
      </c>
      <c r="D3204" s="1" t="str">
        <f>"CA"</f>
        <v>CA</v>
      </c>
      <c r="E3204" s="2">
        <v>1</v>
      </c>
      <c r="F3204" s="2">
        <v>0</v>
      </c>
      <c r="G3204" s="2">
        <v>0</v>
      </c>
      <c r="H3204" s="2">
        <v>1</v>
      </c>
    </row>
    <row r="3205" spans="1:8" x14ac:dyDescent="0.25">
      <c r="A3205" s="1" t="str">
        <f>"10157"</f>
        <v>10157</v>
      </c>
      <c r="B3205" s="1" t="str">
        <f>"35614"</f>
        <v>35614</v>
      </c>
      <c r="C3205" s="1" t="str">
        <f>"NEW YORK"</f>
        <v>NEW YORK</v>
      </c>
      <c r="D3205" s="1" t="str">
        <f>"NY"</f>
        <v>NY</v>
      </c>
      <c r="E3205" s="2">
        <v>0</v>
      </c>
      <c r="F3205" s="2">
        <v>0</v>
      </c>
      <c r="G3205" s="2">
        <v>1</v>
      </c>
      <c r="H3205" s="2">
        <v>1</v>
      </c>
    </row>
    <row r="3206" spans="1:8" x14ac:dyDescent="0.25">
      <c r="A3206" s="1" t="str">
        <f>"19478"</f>
        <v>19478</v>
      </c>
      <c r="B3206" s="1" t="str">
        <f>"33874"</f>
        <v>33874</v>
      </c>
      <c r="C3206" s="1" t="str">
        <f>"SPRING MOUNT"</f>
        <v>SPRING MOUNT</v>
      </c>
      <c r="D3206" s="1" t="str">
        <f>"PA"</f>
        <v>PA</v>
      </c>
      <c r="E3206" s="2">
        <v>1</v>
      </c>
      <c r="F3206" s="2">
        <v>0</v>
      </c>
      <c r="G3206" s="2">
        <v>0</v>
      </c>
      <c r="H3206" s="2">
        <v>1</v>
      </c>
    </row>
    <row r="3207" spans="1:8" x14ac:dyDescent="0.25">
      <c r="A3207" s="1" t="str">
        <f>"01899"</f>
        <v>01899</v>
      </c>
      <c r="B3207" s="1" t="str">
        <f>"15764"</f>
        <v>15764</v>
      </c>
      <c r="C3207" s="1" t="str">
        <f>"ANDOVER"</f>
        <v>ANDOVER</v>
      </c>
      <c r="D3207" s="1" t="str">
        <f>"MA"</f>
        <v>MA</v>
      </c>
      <c r="E3207" s="2">
        <v>0</v>
      </c>
      <c r="F3207" s="2">
        <v>1</v>
      </c>
      <c r="G3207" s="2">
        <v>0</v>
      </c>
      <c r="H3207" s="2">
        <v>1</v>
      </c>
    </row>
    <row r="3208" spans="1:8" x14ac:dyDescent="0.25">
      <c r="A3208" s="1" t="str">
        <f>"18918"</f>
        <v>18918</v>
      </c>
      <c r="B3208" s="1" t="str">
        <f>"33874"</f>
        <v>33874</v>
      </c>
      <c r="C3208" s="1" t="str">
        <f>"EARLINGTON"</f>
        <v>EARLINGTON</v>
      </c>
      <c r="D3208" s="1" t="str">
        <f>"PA"</f>
        <v>PA</v>
      </c>
      <c r="E3208" s="2">
        <v>0</v>
      </c>
      <c r="F3208" s="2">
        <v>0</v>
      </c>
      <c r="G3208" s="2">
        <v>1</v>
      </c>
      <c r="H3208" s="2">
        <v>1</v>
      </c>
    </row>
    <row r="3209" spans="1:8" x14ac:dyDescent="0.25">
      <c r="A3209" s="1" t="str">
        <f>"01821"</f>
        <v>01821</v>
      </c>
      <c r="B3209" s="1" t="str">
        <f>"15764"</f>
        <v>15764</v>
      </c>
      <c r="C3209" s="1" t="str">
        <f>"BILLERICA"</f>
        <v>BILLERICA</v>
      </c>
      <c r="D3209" s="1" t="str">
        <f t="shared" ref="D3209:D3216" si="237">"MA"</f>
        <v>MA</v>
      </c>
      <c r="E3209" s="2">
        <v>1</v>
      </c>
      <c r="F3209" s="2">
        <v>1</v>
      </c>
      <c r="G3209" s="2">
        <v>1</v>
      </c>
      <c r="H3209" s="2">
        <v>1</v>
      </c>
    </row>
    <row r="3210" spans="1:8" x14ac:dyDescent="0.25">
      <c r="A3210" s="1" t="str">
        <f>"01852"</f>
        <v>01852</v>
      </c>
      <c r="B3210" s="1" t="str">
        <f>"15764"</f>
        <v>15764</v>
      </c>
      <c r="C3210" s="1" t="str">
        <f>"LOWELL"</f>
        <v>LOWELL</v>
      </c>
      <c r="D3210" s="1" t="str">
        <f t="shared" si="237"/>
        <v>MA</v>
      </c>
      <c r="E3210" s="2">
        <v>1</v>
      </c>
      <c r="F3210" s="2">
        <v>1</v>
      </c>
      <c r="G3210" s="2">
        <v>1</v>
      </c>
      <c r="H3210" s="2">
        <v>1</v>
      </c>
    </row>
    <row r="3211" spans="1:8" x14ac:dyDescent="0.25">
      <c r="A3211" s="1" t="str">
        <f>"01886"</f>
        <v>01886</v>
      </c>
      <c r="B3211" s="1" t="str">
        <f>"15764"</f>
        <v>15764</v>
      </c>
      <c r="C3211" s="1" t="str">
        <f>"WESTFORD"</f>
        <v>WESTFORD</v>
      </c>
      <c r="D3211" s="1" t="str">
        <f t="shared" si="237"/>
        <v>MA</v>
      </c>
      <c r="E3211" s="2">
        <v>1</v>
      </c>
      <c r="F3211" s="2">
        <v>1</v>
      </c>
      <c r="G3211" s="2">
        <v>1</v>
      </c>
      <c r="H3211" s="2">
        <v>1</v>
      </c>
    </row>
    <row r="3212" spans="1:8" x14ac:dyDescent="0.25">
      <c r="A3212" s="1" t="str">
        <f>"01952"</f>
        <v>01952</v>
      </c>
      <c r="B3212" s="1" t="str">
        <f>"15764"</f>
        <v>15764</v>
      </c>
      <c r="C3212" s="1" t="str">
        <f>"SALISBURY"</f>
        <v>SALISBURY</v>
      </c>
      <c r="D3212" s="1" t="str">
        <f t="shared" si="237"/>
        <v>MA</v>
      </c>
      <c r="E3212" s="2">
        <v>1</v>
      </c>
      <c r="F3212" s="2">
        <v>1</v>
      </c>
      <c r="G3212" s="2">
        <v>1</v>
      </c>
      <c r="H3212" s="2">
        <v>1</v>
      </c>
    </row>
    <row r="3213" spans="1:8" x14ac:dyDescent="0.25">
      <c r="A3213" s="1" t="str">
        <f>"02122"</f>
        <v>02122</v>
      </c>
      <c r="B3213" s="1" t="str">
        <f>"14454"</f>
        <v>14454</v>
      </c>
      <c r="C3213" s="1" t="str">
        <f>"DORCHESTER"</f>
        <v>DORCHESTER</v>
      </c>
      <c r="D3213" s="1" t="str">
        <f t="shared" si="237"/>
        <v>MA</v>
      </c>
      <c r="E3213" s="2">
        <v>1</v>
      </c>
      <c r="F3213" s="2">
        <v>1</v>
      </c>
      <c r="G3213" s="2">
        <v>1</v>
      </c>
      <c r="H3213" s="2">
        <v>1</v>
      </c>
    </row>
    <row r="3214" spans="1:8" x14ac:dyDescent="0.25">
      <c r="A3214" s="1" t="str">
        <f>"02360"</f>
        <v>02360</v>
      </c>
      <c r="B3214" s="1" t="str">
        <f>"14454"</f>
        <v>14454</v>
      </c>
      <c r="C3214" s="1" t="str">
        <f>"PLYMOUTH"</f>
        <v>PLYMOUTH</v>
      </c>
      <c r="D3214" s="1" t="str">
        <f t="shared" si="237"/>
        <v>MA</v>
      </c>
      <c r="E3214" s="2">
        <v>1</v>
      </c>
      <c r="F3214" s="2">
        <v>1</v>
      </c>
      <c r="G3214" s="2">
        <v>1</v>
      </c>
      <c r="H3214" s="2">
        <v>1</v>
      </c>
    </row>
    <row r="3215" spans="1:8" x14ac:dyDescent="0.25">
      <c r="A3215" s="1" t="str">
        <f>"02343"</f>
        <v>02343</v>
      </c>
      <c r="B3215" s="1" t="str">
        <f>"14454"</f>
        <v>14454</v>
      </c>
      <c r="C3215" s="1" t="str">
        <f>"HOLBROOK"</f>
        <v>HOLBROOK</v>
      </c>
      <c r="D3215" s="1" t="str">
        <f t="shared" si="237"/>
        <v>MA</v>
      </c>
      <c r="E3215" s="2">
        <v>1</v>
      </c>
      <c r="F3215" s="2">
        <v>1</v>
      </c>
      <c r="G3215" s="2">
        <v>1</v>
      </c>
      <c r="H3215" s="2">
        <v>1</v>
      </c>
    </row>
    <row r="3216" spans="1:8" x14ac:dyDescent="0.25">
      <c r="A3216" s="1" t="str">
        <f>"02382"</f>
        <v>02382</v>
      </c>
      <c r="B3216" s="1" t="str">
        <f>"14454"</f>
        <v>14454</v>
      </c>
      <c r="C3216" s="1" t="str">
        <f>"WHITMAN"</f>
        <v>WHITMAN</v>
      </c>
      <c r="D3216" s="1" t="str">
        <f t="shared" si="237"/>
        <v>MA</v>
      </c>
      <c r="E3216" s="2">
        <v>1</v>
      </c>
      <c r="F3216" s="2">
        <v>1</v>
      </c>
      <c r="G3216" s="2">
        <v>1</v>
      </c>
      <c r="H3216" s="2">
        <v>1</v>
      </c>
    </row>
    <row r="3217" spans="1:8" x14ac:dyDescent="0.25">
      <c r="A3217" s="1" t="str">
        <f>"03290"</f>
        <v>03290</v>
      </c>
      <c r="B3217" s="1" t="str">
        <f>"40484"</f>
        <v>40484</v>
      </c>
      <c r="C3217" s="1" t="str">
        <f>"NOTTINGHAM"</f>
        <v>NOTTINGHAM</v>
      </c>
      <c r="D3217" s="1" t="str">
        <f>"NH"</f>
        <v>NH</v>
      </c>
      <c r="E3217" s="2">
        <v>1</v>
      </c>
      <c r="F3217" s="2">
        <v>1</v>
      </c>
      <c r="G3217" s="2">
        <v>1</v>
      </c>
      <c r="H3217" s="2">
        <v>1</v>
      </c>
    </row>
    <row r="3218" spans="1:8" x14ac:dyDescent="0.25">
      <c r="A3218" s="1" t="str">
        <f>"07023"</f>
        <v>07023</v>
      </c>
      <c r="B3218" s="1" t="str">
        <f>"35084"</f>
        <v>35084</v>
      </c>
      <c r="C3218" s="1" t="str">
        <f>"FANWOOD"</f>
        <v>FANWOOD</v>
      </c>
      <c r="D3218" s="1" t="str">
        <f t="shared" ref="D3218:D3240" si="238">"NJ"</f>
        <v>NJ</v>
      </c>
      <c r="E3218" s="2">
        <v>1</v>
      </c>
      <c r="F3218" s="2">
        <v>1</v>
      </c>
      <c r="G3218" s="2">
        <v>1</v>
      </c>
      <c r="H3218" s="2">
        <v>1</v>
      </c>
    </row>
    <row r="3219" spans="1:8" x14ac:dyDescent="0.25">
      <c r="A3219" s="1" t="str">
        <f>"07012"</f>
        <v>07012</v>
      </c>
      <c r="B3219" s="1" t="str">
        <f>"35614"</f>
        <v>35614</v>
      </c>
      <c r="C3219" s="1" t="str">
        <f>"CLIFTON"</f>
        <v>CLIFTON</v>
      </c>
      <c r="D3219" s="1" t="str">
        <f t="shared" si="238"/>
        <v>NJ</v>
      </c>
      <c r="E3219" s="2">
        <v>1</v>
      </c>
      <c r="F3219" s="2">
        <v>1</v>
      </c>
      <c r="G3219" s="2">
        <v>1</v>
      </c>
      <c r="H3219" s="2">
        <v>1</v>
      </c>
    </row>
    <row r="3220" spans="1:8" x14ac:dyDescent="0.25">
      <c r="A3220" s="1" t="str">
        <f>"07080"</f>
        <v>07080</v>
      </c>
      <c r="B3220" s="1" t="str">
        <f>"35084"</f>
        <v>35084</v>
      </c>
      <c r="C3220" s="1" t="str">
        <f>"SOUTH PLAINFIELD"</f>
        <v>SOUTH PLAINFIELD</v>
      </c>
      <c r="D3220" s="1" t="str">
        <f t="shared" si="238"/>
        <v>NJ</v>
      </c>
      <c r="E3220" s="2">
        <v>1.10192837465564E-4</v>
      </c>
      <c r="F3220" s="2">
        <v>0</v>
      </c>
      <c r="G3220" s="2">
        <v>0</v>
      </c>
      <c r="H3220" s="2">
        <v>8.8597501550456202E-5</v>
      </c>
    </row>
    <row r="3221" spans="1:8" x14ac:dyDescent="0.25">
      <c r="A3221" s="1" t="str">
        <f>"07080"</f>
        <v>07080</v>
      </c>
      <c r="B3221" s="1" t="str">
        <f>"35154"</f>
        <v>35154</v>
      </c>
      <c r="C3221" s="1" t="str">
        <f>"SOUTH PLAINFIELD"</f>
        <v>SOUTH PLAINFIELD</v>
      </c>
      <c r="D3221" s="1" t="str">
        <f t="shared" si="238"/>
        <v>NJ</v>
      </c>
      <c r="E3221" s="2">
        <v>0.99988980716253395</v>
      </c>
      <c r="F3221" s="2">
        <v>1</v>
      </c>
      <c r="G3221" s="2">
        <v>1</v>
      </c>
      <c r="H3221" s="2">
        <v>0.99991140249844901</v>
      </c>
    </row>
    <row r="3222" spans="1:8" x14ac:dyDescent="0.25">
      <c r="A3222" s="1" t="str">
        <f>"07095"</f>
        <v>07095</v>
      </c>
      <c r="B3222" s="1" t="str">
        <f>"35154"</f>
        <v>35154</v>
      </c>
      <c r="C3222" s="1" t="str">
        <f>"WOODBRIDGE"</f>
        <v>WOODBRIDGE</v>
      </c>
      <c r="D3222" s="1" t="str">
        <f t="shared" si="238"/>
        <v>NJ</v>
      </c>
      <c r="E3222" s="2">
        <v>1</v>
      </c>
      <c r="F3222" s="2">
        <v>1</v>
      </c>
      <c r="G3222" s="2">
        <v>1</v>
      </c>
      <c r="H3222" s="2">
        <v>1</v>
      </c>
    </row>
    <row r="3223" spans="1:8" x14ac:dyDescent="0.25">
      <c r="A3223" s="1" t="str">
        <f>"07420"</f>
        <v>07420</v>
      </c>
      <c r="B3223" s="1" t="str">
        <f>"35614"</f>
        <v>35614</v>
      </c>
      <c r="C3223" s="1" t="str">
        <f>"HASKELL"</f>
        <v>HASKELL</v>
      </c>
      <c r="D3223" s="1" t="str">
        <f t="shared" si="238"/>
        <v>NJ</v>
      </c>
      <c r="E3223" s="2">
        <v>1</v>
      </c>
      <c r="F3223" s="2">
        <v>1</v>
      </c>
      <c r="G3223" s="2">
        <v>1</v>
      </c>
      <c r="H3223" s="2">
        <v>1</v>
      </c>
    </row>
    <row r="3224" spans="1:8" x14ac:dyDescent="0.25">
      <c r="A3224" s="1" t="str">
        <f>"07421"</f>
        <v>07421</v>
      </c>
      <c r="B3224" s="1" t="str">
        <f>"35614"</f>
        <v>35614</v>
      </c>
      <c r="C3224" s="1" t="str">
        <f>"HEWITT"</f>
        <v>HEWITT</v>
      </c>
      <c r="D3224" s="1" t="str">
        <f t="shared" si="238"/>
        <v>NJ</v>
      </c>
      <c r="E3224" s="2">
        <v>0.95574387947269301</v>
      </c>
      <c r="F3224" s="2">
        <v>0.92771084337349297</v>
      </c>
      <c r="G3224" s="2">
        <v>0.91044776119402904</v>
      </c>
      <c r="H3224" s="2">
        <v>0.95354951796669496</v>
      </c>
    </row>
    <row r="3225" spans="1:8" x14ac:dyDescent="0.25">
      <c r="A3225" s="1" t="str">
        <f>"07421"</f>
        <v>07421</v>
      </c>
      <c r="B3225" s="1" t="str">
        <f>"35084"</f>
        <v>35084</v>
      </c>
      <c r="C3225" s="1" t="str">
        <f>"HEWITT"</f>
        <v>HEWITT</v>
      </c>
      <c r="D3225" s="1" t="str">
        <f t="shared" si="238"/>
        <v>NJ</v>
      </c>
      <c r="E3225" s="2">
        <v>4.4256120527306902E-2</v>
      </c>
      <c r="F3225" s="2">
        <v>7.2289156626505993E-2</v>
      </c>
      <c r="G3225" s="2">
        <v>8.9552238805970102E-2</v>
      </c>
      <c r="H3225" s="2">
        <v>4.6450482033304097E-2</v>
      </c>
    </row>
    <row r="3226" spans="1:8" x14ac:dyDescent="0.25">
      <c r="A3226" s="1" t="str">
        <f>"07461"</f>
        <v>07461</v>
      </c>
      <c r="B3226" s="1" t="str">
        <f>"35084"</f>
        <v>35084</v>
      </c>
      <c r="C3226" s="1" t="str">
        <f>"SUSSEX"</f>
        <v>SUSSEX</v>
      </c>
      <c r="D3226" s="1" t="str">
        <f t="shared" si="238"/>
        <v>NJ</v>
      </c>
      <c r="E3226" s="2">
        <v>1</v>
      </c>
      <c r="F3226" s="2">
        <v>1</v>
      </c>
      <c r="G3226" s="2">
        <v>1</v>
      </c>
      <c r="H3226" s="2">
        <v>1</v>
      </c>
    </row>
    <row r="3227" spans="1:8" x14ac:dyDescent="0.25">
      <c r="A3227" s="1" t="str">
        <f>"07631"</f>
        <v>07631</v>
      </c>
      <c r="B3227" s="1" t="str">
        <f>"35614"</f>
        <v>35614</v>
      </c>
      <c r="C3227" s="1" t="str">
        <f>"ENGLEWOOD"</f>
        <v>ENGLEWOOD</v>
      </c>
      <c r="D3227" s="1" t="str">
        <f t="shared" si="238"/>
        <v>NJ</v>
      </c>
      <c r="E3227" s="2">
        <v>1</v>
      </c>
      <c r="F3227" s="2">
        <v>1</v>
      </c>
      <c r="G3227" s="2">
        <v>1</v>
      </c>
      <c r="H3227" s="2">
        <v>1</v>
      </c>
    </row>
    <row r="3228" spans="1:8" x14ac:dyDescent="0.25">
      <c r="A3228" s="1" t="str">
        <f>"07734"</f>
        <v>07734</v>
      </c>
      <c r="B3228" s="1" t="str">
        <f>"35154"</f>
        <v>35154</v>
      </c>
      <c r="C3228" s="1" t="str">
        <f>"KEANSBURG"</f>
        <v>KEANSBURG</v>
      </c>
      <c r="D3228" s="1" t="str">
        <f t="shared" si="238"/>
        <v>NJ</v>
      </c>
      <c r="E3228" s="2">
        <v>1</v>
      </c>
      <c r="F3228" s="2">
        <v>1</v>
      </c>
      <c r="G3228" s="2">
        <v>1</v>
      </c>
      <c r="H3228" s="2">
        <v>1</v>
      </c>
    </row>
    <row r="3229" spans="1:8" x14ac:dyDescent="0.25">
      <c r="A3229" s="1" t="str">
        <f>"07853"</f>
        <v>07853</v>
      </c>
      <c r="B3229" s="1" t="str">
        <f>"35084"</f>
        <v>35084</v>
      </c>
      <c r="C3229" s="1" t="str">
        <f>"LONG VALLEY"</f>
        <v>LONG VALLEY</v>
      </c>
      <c r="D3229" s="1" t="str">
        <f t="shared" si="238"/>
        <v>NJ</v>
      </c>
      <c r="E3229" s="2">
        <v>1</v>
      </c>
      <c r="F3229" s="2">
        <v>1</v>
      </c>
      <c r="G3229" s="2">
        <v>1</v>
      </c>
      <c r="H3229" s="2">
        <v>1</v>
      </c>
    </row>
    <row r="3230" spans="1:8" x14ac:dyDescent="0.25">
      <c r="A3230" s="1" t="str">
        <f>"07927"</f>
        <v>07927</v>
      </c>
      <c r="B3230" s="1" t="str">
        <f>"35084"</f>
        <v>35084</v>
      </c>
      <c r="C3230" s="1" t="str">
        <f>"CEDAR KNOLLS"</f>
        <v>CEDAR KNOLLS</v>
      </c>
      <c r="D3230" s="1" t="str">
        <f t="shared" si="238"/>
        <v>NJ</v>
      </c>
      <c r="E3230" s="2">
        <v>1</v>
      </c>
      <c r="F3230" s="2">
        <v>1</v>
      </c>
      <c r="G3230" s="2">
        <v>1</v>
      </c>
      <c r="H3230" s="2">
        <v>1</v>
      </c>
    </row>
    <row r="3231" spans="1:8" x14ac:dyDescent="0.25">
      <c r="A3231" s="1" t="str">
        <f>"08016"</f>
        <v>08016</v>
      </c>
      <c r="B3231" s="1" t="str">
        <f t="shared" ref="B3231:B3236" si="239">"15804"</f>
        <v>15804</v>
      </c>
      <c r="C3231" s="1" t="str">
        <f>"BURLINGTON"</f>
        <v>BURLINGTON</v>
      </c>
      <c r="D3231" s="1" t="str">
        <f t="shared" si="238"/>
        <v>NJ</v>
      </c>
      <c r="E3231" s="2">
        <v>1</v>
      </c>
      <c r="F3231" s="2">
        <v>1</v>
      </c>
      <c r="G3231" s="2">
        <v>1</v>
      </c>
      <c r="H3231" s="2">
        <v>1</v>
      </c>
    </row>
    <row r="3232" spans="1:8" x14ac:dyDescent="0.25">
      <c r="A3232" s="1" t="str">
        <f>"08035"</f>
        <v>08035</v>
      </c>
      <c r="B3232" s="1" t="str">
        <f t="shared" si="239"/>
        <v>15804</v>
      </c>
      <c r="C3232" s="1" t="str">
        <f>"HADDON HEIGHTS"</f>
        <v>HADDON HEIGHTS</v>
      </c>
      <c r="D3232" s="1" t="str">
        <f t="shared" si="238"/>
        <v>NJ</v>
      </c>
      <c r="E3232" s="2">
        <v>1</v>
      </c>
      <c r="F3232" s="2">
        <v>1</v>
      </c>
      <c r="G3232" s="2">
        <v>1</v>
      </c>
      <c r="H3232" s="2">
        <v>1</v>
      </c>
    </row>
    <row r="3233" spans="1:8" x14ac:dyDescent="0.25">
      <c r="A3233" s="1" t="str">
        <f>"08052"</f>
        <v>08052</v>
      </c>
      <c r="B3233" s="1" t="str">
        <f t="shared" si="239"/>
        <v>15804</v>
      </c>
      <c r="C3233" s="1" t="str">
        <f>"MAPLE SHADE"</f>
        <v>MAPLE SHADE</v>
      </c>
      <c r="D3233" s="1" t="str">
        <f t="shared" si="238"/>
        <v>NJ</v>
      </c>
      <c r="E3233" s="2">
        <v>1</v>
      </c>
      <c r="F3233" s="2">
        <v>1</v>
      </c>
      <c r="G3233" s="2">
        <v>1</v>
      </c>
      <c r="H3233" s="2">
        <v>1</v>
      </c>
    </row>
    <row r="3234" spans="1:8" x14ac:dyDescent="0.25">
      <c r="A3234" s="1" t="str">
        <f>"08060"</f>
        <v>08060</v>
      </c>
      <c r="B3234" s="1" t="str">
        <f t="shared" si="239"/>
        <v>15804</v>
      </c>
      <c r="C3234" s="1" t="str">
        <f>"MOUNT HOLLY"</f>
        <v>MOUNT HOLLY</v>
      </c>
      <c r="D3234" s="1" t="str">
        <f t="shared" si="238"/>
        <v>NJ</v>
      </c>
      <c r="E3234" s="2">
        <v>1</v>
      </c>
      <c r="F3234" s="2">
        <v>1</v>
      </c>
      <c r="G3234" s="2">
        <v>1</v>
      </c>
      <c r="H3234" s="2">
        <v>1</v>
      </c>
    </row>
    <row r="3235" spans="1:8" x14ac:dyDescent="0.25">
      <c r="A3235" s="1" t="str">
        <f>"08090"</f>
        <v>08090</v>
      </c>
      <c r="B3235" s="1" t="str">
        <f t="shared" si="239"/>
        <v>15804</v>
      </c>
      <c r="C3235" s="1" t="str">
        <f>"WENONAH"</f>
        <v>WENONAH</v>
      </c>
      <c r="D3235" s="1" t="str">
        <f t="shared" si="238"/>
        <v>NJ</v>
      </c>
      <c r="E3235" s="2">
        <v>1</v>
      </c>
      <c r="F3235" s="2">
        <v>1</v>
      </c>
      <c r="G3235" s="2">
        <v>1</v>
      </c>
      <c r="H3235" s="2">
        <v>1</v>
      </c>
    </row>
    <row r="3236" spans="1:8" x14ac:dyDescent="0.25">
      <c r="A3236" s="1" t="str">
        <f>"08091"</f>
        <v>08091</v>
      </c>
      <c r="B3236" s="1" t="str">
        <f t="shared" si="239"/>
        <v>15804</v>
      </c>
      <c r="C3236" s="1" t="str">
        <f>"WEST BERLIN"</f>
        <v>WEST BERLIN</v>
      </c>
      <c r="D3236" s="1" t="str">
        <f t="shared" si="238"/>
        <v>NJ</v>
      </c>
      <c r="E3236" s="2">
        <v>1</v>
      </c>
      <c r="F3236" s="2">
        <v>1</v>
      </c>
      <c r="G3236" s="2">
        <v>1</v>
      </c>
      <c r="H3236" s="2">
        <v>1</v>
      </c>
    </row>
    <row r="3237" spans="1:8" x14ac:dyDescent="0.25">
      <c r="A3237" s="1" t="str">
        <f>"08540"</f>
        <v>08540</v>
      </c>
      <c r="B3237" s="1" t="str">
        <f>"35154"</f>
        <v>35154</v>
      </c>
      <c r="C3237" s="1" t="str">
        <f>"PRINCETON"</f>
        <v>PRINCETON</v>
      </c>
      <c r="D3237" s="1" t="str">
        <f t="shared" si="238"/>
        <v>NJ</v>
      </c>
      <c r="E3237" s="2">
        <v>1</v>
      </c>
      <c r="F3237" s="2">
        <v>1</v>
      </c>
      <c r="G3237" s="2">
        <v>1</v>
      </c>
      <c r="H3237" s="2">
        <v>1</v>
      </c>
    </row>
    <row r="3238" spans="1:8" x14ac:dyDescent="0.25">
      <c r="A3238" s="1" t="str">
        <f>"08724"</f>
        <v>08724</v>
      </c>
      <c r="B3238" s="1" t="str">
        <f>"35154"</f>
        <v>35154</v>
      </c>
      <c r="C3238" s="1" t="str">
        <f>"BRICK"</f>
        <v>BRICK</v>
      </c>
      <c r="D3238" s="1" t="str">
        <f t="shared" si="238"/>
        <v>NJ</v>
      </c>
      <c r="E3238" s="2">
        <v>1</v>
      </c>
      <c r="F3238" s="2">
        <v>1</v>
      </c>
      <c r="G3238" s="2">
        <v>1</v>
      </c>
      <c r="H3238" s="2">
        <v>1</v>
      </c>
    </row>
    <row r="3239" spans="1:8" x14ac:dyDescent="0.25">
      <c r="A3239" s="1" t="str">
        <f>"08889"</f>
        <v>08889</v>
      </c>
      <c r="B3239" s="1" t="str">
        <f>"35154"</f>
        <v>35154</v>
      </c>
      <c r="C3239" s="1" t="str">
        <f>"WHITEHOUSE STATION"</f>
        <v>WHITEHOUSE STATION</v>
      </c>
      <c r="D3239" s="1" t="str">
        <f t="shared" si="238"/>
        <v>NJ</v>
      </c>
      <c r="E3239" s="2">
        <v>1.0254306808859699E-3</v>
      </c>
      <c r="F3239" s="2">
        <v>0</v>
      </c>
      <c r="G3239" s="2">
        <v>0</v>
      </c>
      <c r="H3239" s="2">
        <v>9.4393052671323298E-4</v>
      </c>
    </row>
    <row r="3240" spans="1:8" x14ac:dyDescent="0.25">
      <c r="A3240" s="1" t="str">
        <f>"08889"</f>
        <v>08889</v>
      </c>
      <c r="B3240" s="1" t="str">
        <f>"35084"</f>
        <v>35084</v>
      </c>
      <c r="C3240" s="1" t="str">
        <f>"WHITEHOUSE STATION"</f>
        <v>WHITEHOUSE STATION</v>
      </c>
      <c r="D3240" s="1" t="str">
        <f t="shared" si="238"/>
        <v>NJ</v>
      </c>
      <c r="E3240" s="2">
        <v>0.99897456931911399</v>
      </c>
      <c r="F3240" s="2">
        <v>1</v>
      </c>
      <c r="G3240" s="2">
        <v>1</v>
      </c>
      <c r="H3240" s="2">
        <v>0.99905606947328596</v>
      </c>
    </row>
    <row r="3241" spans="1:8" x14ac:dyDescent="0.25">
      <c r="A3241" s="1" t="str">
        <f>"10028"</f>
        <v>10028</v>
      </c>
      <c r="B3241" s="1" t="str">
        <f>"35614"</f>
        <v>35614</v>
      </c>
      <c r="C3241" s="1" t="str">
        <f>"NEW YORK"</f>
        <v>NEW YORK</v>
      </c>
      <c r="D3241" s="1" t="str">
        <f t="shared" ref="D3241:D3254" si="240">"NY"</f>
        <v>NY</v>
      </c>
      <c r="E3241" s="2">
        <v>1</v>
      </c>
      <c r="F3241" s="2">
        <v>1</v>
      </c>
      <c r="G3241" s="2">
        <v>1</v>
      </c>
      <c r="H3241" s="2">
        <v>1</v>
      </c>
    </row>
    <row r="3242" spans="1:8" x14ac:dyDescent="0.25">
      <c r="A3242" s="1" t="str">
        <f>"10163"</f>
        <v>10163</v>
      </c>
      <c r="B3242" s="1" t="str">
        <f>"35614"</f>
        <v>35614</v>
      </c>
      <c r="C3242" s="1" t="str">
        <f>"NEW YORK"</f>
        <v>NEW YORK</v>
      </c>
      <c r="D3242" s="1" t="str">
        <f t="shared" si="240"/>
        <v>NY</v>
      </c>
      <c r="E3242" s="2">
        <v>1</v>
      </c>
      <c r="F3242" s="2">
        <v>1</v>
      </c>
      <c r="G3242" s="2">
        <v>1</v>
      </c>
      <c r="H3242" s="2">
        <v>1</v>
      </c>
    </row>
    <row r="3243" spans="1:8" x14ac:dyDescent="0.25">
      <c r="A3243" s="1" t="str">
        <f>"10308"</f>
        <v>10308</v>
      </c>
      <c r="B3243" s="1" t="str">
        <f>"35614"</f>
        <v>35614</v>
      </c>
      <c r="C3243" s="1" t="str">
        <f>"STATEN ISLAND"</f>
        <v>STATEN ISLAND</v>
      </c>
      <c r="D3243" s="1" t="str">
        <f t="shared" si="240"/>
        <v>NY</v>
      </c>
      <c r="E3243" s="2">
        <v>1</v>
      </c>
      <c r="F3243" s="2">
        <v>1</v>
      </c>
      <c r="G3243" s="2">
        <v>1</v>
      </c>
      <c r="H3243" s="2">
        <v>1</v>
      </c>
    </row>
    <row r="3244" spans="1:8" x14ac:dyDescent="0.25">
      <c r="A3244" s="1" t="str">
        <f>"11205"</f>
        <v>11205</v>
      </c>
      <c r="B3244" s="1" t="str">
        <f>"35614"</f>
        <v>35614</v>
      </c>
      <c r="C3244" s="1" t="str">
        <f>"BROOKLYN"</f>
        <v>BROOKLYN</v>
      </c>
      <c r="D3244" s="1" t="str">
        <f t="shared" si="240"/>
        <v>NY</v>
      </c>
      <c r="E3244" s="2">
        <v>1</v>
      </c>
      <c r="F3244" s="2">
        <v>1</v>
      </c>
      <c r="G3244" s="2">
        <v>1</v>
      </c>
      <c r="H3244" s="2">
        <v>1</v>
      </c>
    </row>
    <row r="3245" spans="1:8" x14ac:dyDescent="0.25">
      <c r="A3245" s="1" t="str">
        <f>"11243"</f>
        <v>11243</v>
      </c>
      <c r="B3245" s="1" t="str">
        <f>"35614"</f>
        <v>35614</v>
      </c>
      <c r="C3245" s="1" t="str">
        <f>"BROOKLYN"</f>
        <v>BROOKLYN</v>
      </c>
      <c r="D3245" s="1" t="str">
        <f t="shared" si="240"/>
        <v>NY</v>
      </c>
      <c r="E3245" s="2">
        <v>1</v>
      </c>
      <c r="F3245" s="2">
        <v>1</v>
      </c>
      <c r="G3245" s="2">
        <v>1</v>
      </c>
      <c r="H3245" s="2">
        <v>1</v>
      </c>
    </row>
    <row r="3246" spans="1:8" x14ac:dyDescent="0.25">
      <c r="A3246" s="1" t="str">
        <f>"11004"</f>
        <v>11004</v>
      </c>
      <c r="B3246" s="1" t="str">
        <f>"35004"</f>
        <v>35004</v>
      </c>
      <c r="C3246" s="1" t="str">
        <f>"GLEN OAKS"</f>
        <v>GLEN OAKS</v>
      </c>
      <c r="D3246" s="1" t="str">
        <f t="shared" si="240"/>
        <v>NY</v>
      </c>
      <c r="E3246" s="2">
        <v>7.2778297474275E-2</v>
      </c>
      <c r="F3246" s="2">
        <v>0.25776397515527899</v>
      </c>
      <c r="G3246" s="2">
        <v>1.1764705882352899E-2</v>
      </c>
      <c r="H3246" s="2">
        <v>8.1206099023470896E-2</v>
      </c>
    </row>
    <row r="3247" spans="1:8" x14ac:dyDescent="0.25">
      <c r="A3247" s="1" t="str">
        <f>"11004"</f>
        <v>11004</v>
      </c>
      <c r="B3247" s="1" t="str">
        <f>"35614"</f>
        <v>35614</v>
      </c>
      <c r="C3247" s="1" t="str">
        <f>"GLEN OAKS"</f>
        <v>GLEN OAKS</v>
      </c>
      <c r="D3247" s="1" t="str">
        <f t="shared" si="240"/>
        <v>NY</v>
      </c>
      <c r="E3247" s="2">
        <v>0.927221702525724</v>
      </c>
      <c r="F3247" s="2">
        <v>0.74223602484471995</v>
      </c>
      <c r="G3247" s="2">
        <v>0.98823529411764699</v>
      </c>
      <c r="H3247" s="2">
        <v>0.91879390097652902</v>
      </c>
    </row>
    <row r="3248" spans="1:8" x14ac:dyDescent="0.25">
      <c r="A3248" s="1" t="str">
        <f>"11421"</f>
        <v>11421</v>
      </c>
      <c r="B3248" s="1" t="str">
        <f>"35614"</f>
        <v>35614</v>
      </c>
      <c r="C3248" s="1" t="str">
        <f>"WOODHAVEN"</f>
        <v>WOODHAVEN</v>
      </c>
      <c r="D3248" s="1" t="str">
        <f t="shared" si="240"/>
        <v>NY</v>
      </c>
      <c r="E3248" s="2">
        <v>1</v>
      </c>
      <c r="F3248" s="2">
        <v>1</v>
      </c>
      <c r="G3248" s="2">
        <v>1</v>
      </c>
      <c r="H3248" s="2">
        <v>1</v>
      </c>
    </row>
    <row r="3249" spans="1:8" x14ac:dyDescent="0.25">
      <c r="A3249" s="1" t="str">
        <f>"11545"</f>
        <v>11545</v>
      </c>
      <c r="B3249" s="1" t="str">
        <f>"35004"</f>
        <v>35004</v>
      </c>
      <c r="C3249" s="1" t="str">
        <f>"GLEN HEAD"</f>
        <v>GLEN HEAD</v>
      </c>
      <c r="D3249" s="1" t="str">
        <f t="shared" si="240"/>
        <v>NY</v>
      </c>
      <c r="E3249" s="2">
        <v>1</v>
      </c>
      <c r="F3249" s="2">
        <v>1</v>
      </c>
      <c r="G3249" s="2">
        <v>1</v>
      </c>
      <c r="H3249" s="2">
        <v>1</v>
      </c>
    </row>
    <row r="3250" spans="1:8" x14ac:dyDescent="0.25">
      <c r="A3250" s="1" t="str">
        <f>"11777"</f>
        <v>11777</v>
      </c>
      <c r="B3250" s="1" t="str">
        <f>"35004"</f>
        <v>35004</v>
      </c>
      <c r="C3250" s="1" t="str">
        <f>"PORT JEFFERSON"</f>
        <v>PORT JEFFERSON</v>
      </c>
      <c r="D3250" s="1" t="str">
        <f t="shared" si="240"/>
        <v>NY</v>
      </c>
      <c r="E3250" s="2">
        <v>1</v>
      </c>
      <c r="F3250" s="2">
        <v>1</v>
      </c>
      <c r="G3250" s="2">
        <v>1</v>
      </c>
      <c r="H3250" s="2">
        <v>1</v>
      </c>
    </row>
    <row r="3251" spans="1:8" x14ac:dyDescent="0.25">
      <c r="A3251" s="1" t="str">
        <f>"11798"</f>
        <v>11798</v>
      </c>
      <c r="B3251" s="1" t="str">
        <f>"35004"</f>
        <v>35004</v>
      </c>
      <c r="C3251" s="1" t="str">
        <f>"WYANDANCH"</f>
        <v>WYANDANCH</v>
      </c>
      <c r="D3251" s="1" t="str">
        <f t="shared" si="240"/>
        <v>NY</v>
      </c>
      <c r="E3251" s="2">
        <v>1</v>
      </c>
      <c r="F3251" s="2">
        <v>1</v>
      </c>
      <c r="G3251" s="2">
        <v>1</v>
      </c>
      <c r="H3251" s="2">
        <v>1</v>
      </c>
    </row>
    <row r="3252" spans="1:8" x14ac:dyDescent="0.25">
      <c r="A3252" s="1" t="str">
        <f>"11962"</f>
        <v>11962</v>
      </c>
      <c r="B3252" s="1" t="str">
        <f>"35004"</f>
        <v>35004</v>
      </c>
      <c r="C3252" s="1" t="str">
        <f>"SAGAPONACK"</f>
        <v>SAGAPONACK</v>
      </c>
      <c r="D3252" s="1" t="str">
        <f t="shared" si="240"/>
        <v>NY</v>
      </c>
      <c r="E3252" s="2">
        <v>1</v>
      </c>
      <c r="F3252" s="2">
        <v>1</v>
      </c>
      <c r="G3252" s="2">
        <v>1</v>
      </c>
      <c r="H3252" s="2">
        <v>1</v>
      </c>
    </row>
    <row r="3253" spans="1:8" x14ac:dyDescent="0.25">
      <c r="A3253" s="1" t="str">
        <f>"10977"</f>
        <v>10977</v>
      </c>
      <c r="B3253" s="1" t="str">
        <f>"35614"</f>
        <v>35614</v>
      </c>
      <c r="C3253" s="1" t="str">
        <f>"SPRING VALLEY"</f>
        <v>SPRING VALLEY</v>
      </c>
      <c r="D3253" s="1" t="str">
        <f t="shared" si="240"/>
        <v>NY</v>
      </c>
      <c r="E3253" s="2">
        <v>1</v>
      </c>
      <c r="F3253" s="2">
        <v>1</v>
      </c>
      <c r="G3253" s="2">
        <v>1</v>
      </c>
      <c r="H3253" s="2">
        <v>1</v>
      </c>
    </row>
    <row r="3254" spans="1:8" x14ac:dyDescent="0.25">
      <c r="A3254" s="1" t="str">
        <f>"10970"</f>
        <v>10970</v>
      </c>
      <c r="B3254" s="1" t="str">
        <f>"35614"</f>
        <v>35614</v>
      </c>
      <c r="C3254" s="1" t="str">
        <f>"POMONA"</f>
        <v>POMONA</v>
      </c>
      <c r="D3254" s="1" t="str">
        <f t="shared" si="240"/>
        <v>NY</v>
      </c>
      <c r="E3254" s="2">
        <v>1</v>
      </c>
      <c r="F3254" s="2">
        <v>1</v>
      </c>
      <c r="G3254" s="2">
        <v>1</v>
      </c>
      <c r="H3254" s="2">
        <v>1</v>
      </c>
    </row>
    <row r="3255" spans="1:8" x14ac:dyDescent="0.25">
      <c r="A3255" s="1" t="str">
        <f>"18464"</f>
        <v>18464</v>
      </c>
      <c r="B3255" s="1" t="str">
        <f>"35084"</f>
        <v>35084</v>
      </c>
      <c r="C3255" s="1" t="str">
        <f>"TAFTON"</f>
        <v>TAFTON</v>
      </c>
      <c r="D3255" s="1" t="str">
        <f t="shared" ref="D3255:D3264" si="241">"PA"</f>
        <v>PA</v>
      </c>
      <c r="E3255" s="2">
        <v>1</v>
      </c>
      <c r="F3255" s="2">
        <v>1</v>
      </c>
      <c r="G3255" s="2">
        <v>1</v>
      </c>
      <c r="H3255" s="2">
        <v>1</v>
      </c>
    </row>
    <row r="3256" spans="1:8" x14ac:dyDescent="0.25">
      <c r="A3256" s="1" t="str">
        <f>"18914"</f>
        <v>18914</v>
      </c>
      <c r="B3256" s="1" t="str">
        <f>"33874"</f>
        <v>33874</v>
      </c>
      <c r="C3256" s="1" t="str">
        <f>"CHALFONT"</f>
        <v>CHALFONT</v>
      </c>
      <c r="D3256" s="1" t="str">
        <f t="shared" si="241"/>
        <v>PA</v>
      </c>
      <c r="E3256" s="2">
        <v>1</v>
      </c>
      <c r="F3256" s="2">
        <v>1</v>
      </c>
      <c r="G3256" s="2">
        <v>1</v>
      </c>
      <c r="H3256" s="2">
        <v>1</v>
      </c>
    </row>
    <row r="3257" spans="1:8" x14ac:dyDescent="0.25">
      <c r="A3257" s="1" t="str">
        <f>"19002"</f>
        <v>19002</v>
      </c>
      <c r="B3257" s="1" t="str">
        <f>"33874"</f>
        <v>33874</v>
      </c>
      <c r="C3257" s="1" t="str">
        <f>"AMBLER"</f>
        <v>AMBLER</v>
      </c>
      <c r="D3257" s="1" t="str">
        <f t="shared" si="241"/>
        <v>PA</v>
      </c>
      <c r="E3257" s="2">
        <v>1</v>
      </c>
      <c r="F3257" s="2">
        <v>1</v>
      </c>
      <c r="G3257" s="2">
        <v>1</v>
      </c>
      <c r="H3257" s="2">
        <v>1</v>
      </c>
    </row>
    <row r="3258" spans="1:8" x14ac:dyDescent="0.25">
      <c r="A3258" s="1" t="str">
        <f>"19054"</f>
        <v>19054</v>
      </c>
      <c r="B3258" s="1" t="str">
        <f>"33874"</f>
        <v>33874</v>
      </c>
      <c r="C3258" s="1" t="str">
        <f>"LEVITTOWN"</f>
        <v>LEVITTOWN</v>
      </c>
      <c r="D3258" s="1" t="str">
        <f t="shared" si="241"/>
        <v>PA</v>
      </c>
      <c r="E3258" s="2">
        <v>1</v>
      </c>
      <c r="F3258" s="2">
        <v>1</v>
      </c>
      <c r="G3258" s="2">
        <v>1</v>
      </c>
      <c r="H3258" s="2">
        <v>1</v>
      </c>
    </row>
    <row r="3259" spans="1:8" x14ac:dyDescent="0.25">
      <c r="A3259" s="1" t="str">
        <f>"19091"</f>
        <v>19091</v>
      </c>
      <c r="B3259" s="1" t="str">
        <f>"37964"</f>
        <v>37964</v>
      </c>
      <c r="C3259" s="1" t="str">
        <f>"MEDIA"</f>
        <v>MEDIA</v>
      </c>
      <c r="D3259" s="1" t="str">
        <f t="shared" si="241"/>
        <v>PA</v>
      </c>
      <c r="E3259" s="2">
        <v>0</v>
      </c>
      <c r="F3259" s="2">
        <v>1</v>
      </c>
      <c r="G3259" s="2">
        <v>1</v>
      </c>
      <c r="H3259" s="2">
        <v>1</v>
      </c>
    </row>
    <row r="3260" spans="1:8" x14ac:dyDescent="0.25">
      <c r="A3260" s="1" t="str">
        <f>"19123"</f>
        <v>19123</v>
      </c>
      <c r="B3260" s="1" t="str">
        <f>"37964"</f>
        <v>37964</v>
      </c>
      <c r="C3260" s="1" t="str">
        <f>"PHILADELPHIA"</f>
        <v>PHILADELPHIA</v>
      </c>
      <c r="D3260" s="1" t="str">
        <f t="shared" si="241"/>
        <v>PA</v>
      </c>
      <c r="E3260" s="2">
        <v>1</v>
      </c>
      <c r="F3260" s="2">
        <v>1</v>
      </c>
      <c r="G3260" s="2">
        <v>1</v>
      </c>
      <c r="H3260" s="2">
        <v>1</v>
      </c>
    </row>
    <row r="3261" spans="1:8" x14ac:dyDescent="0.25">
      <c r="A3261" s="1" t="str">
        <f>"19124"</f>
        <v>19124</v>
      </c>
      <c r="B3261" s="1" t="str">
        <f>"37964"</f>
        <v>37964</v>
      </c>
      <c r="C3261" s="1" t="str">
        <f>"PHILADELPHIA"</f>
        <v>PHILADELPHIA</v>
      </c>
      <c r="D3261" s="1" t="str">
        <f t="shared" si="241"/>
        <v>PA</v>
      </c>
      <c r="E3261" s="2">
        <v>1</v>
      </c>
      <c r="F3261" s="2">
        <v>1</v>
      </c>
      <c r="G3261" s="2">
        <v>1</v>
      </c>
      <c r="H3261" s="2">
        <v>1</v>
      </c>
    </row>
    <row r="3262" spans="1:8" x14ac:dyDescent="0.25">
      <c r="A3262" s="1" t="str">
        <f>"19141"</f>
        <v>19141</v>
      </c>
      <c r="B3262" s="1" t="str">
        <f>"37964"</f>
        <v>37964</v>
      </c>
      <c r="C3262" s="1" t="str">
        <f>"PHILADELPHIA"</f>
        <v>PHILADELPHIA</v>
      </c>
      <c r="D3262" s="1" t="str">
        <f t="shared" si="241"/>
        <v>PA</v>
      </c>
      <c r="E3262" s="2">
        <v>1</v>
      </c>
      <c r="F3262" s="2">
        <v>1</v>
      </c>
      <c r="G3262" s="2">
        <v>1</v>
      </c>
      <c r="H3262" s="2">
        <v>1</v>
      </c>
    </row>
    <row r="3263" spans="1:8" x14ac:dyDescent="0.25">
      <c r="A3263" s="1" t="str">
        <f>"19143"</f>
        <v>19143</v>
      </c>
      <c r="B3263" s="1" t="str">
        <f>"37964"</f>
        <v>37964</v>
      </c>
      <c r="C3263" s="1" t="str">
        <f>"PHILADELPHIA"</f>
        <v>PHILADELPHIA</v>
      </c>
      <c r="D3263" s="1" t="str">
        <f t="shared" si="241"/>
        <v>PA</v>
      </c>
      <c r="E3263" s="2">
        <v>1</v>
      </c>
      <c r="F3263" s="2">
        <v>1</v>
      </c>
      <c r="G3263" s="2">
        <v>1</v>
      </c>
      <c r="H3263" s="2">
        <v>1</v>
      </c>
    </row>
    <row r="3264" spans="1:8" x14ac:dyDescent="0.25">
      <c r="A3264" s="1" t="str">
        <f>"19444"</f>
        <v>19444</v>
      </c>
      <c r="B3264" s="1" t="str">
        <f>"33874"</f>
        <v>33874</v>
      </c>
      <c r="C3264" s="1" t="str">
        <f>"LAFAYETTE HILL"</f>
        <v>LAFAYETTE HILL</v>
      </c>
      <c r="D3264" s="1" t="str">
        <f t="shared" si="241"/>
        <v>PA</v>
      </c>
      <c r="E3264" s="2">
        <v>1</v>
      </c>
      <c r="F3264" s="2">
        <v>1</v>
      </c>
      <c r="G3264" s="2">
        <v>1</v>
      </c>
      <c r="H3264" s="2">
        <v>1</v>
      </c>
    </row>
    <row r="3265" spans="1:8" x14ac:dyDescent="0.25">
      <c r="A3265" s="1" t="str">
        <f>"19701"</f>
        <v>19701</v>
      </c>
      <c r="B3265" s="1" t="str">
        <f>"48864"</f>
        <v>48864</v>
      </c>
      <c r="C3265" s="1" t="str">
        <f>"BEAR"</f>
        <v>BEAR</v>
      </c>
      <c r="D3265" s="1" t="str">
        <f>"DE"</f>
        <v>DE</v>
      </c>
      <c r="E3265" s="2">
        <v>1</v>
      </c>
      <c r="F3265" s="2">
        <v>1</v>
      </c>
      <c r="G3265" s="2">
        <v>1</v>
      </c>
      <c r="H3265" s="2">
        <v>1</v>
      </c>
    </row>
    <row r="3266" spans="1:8" x14ac:dyDescent="0.25">
      <c r="A3266" s="1" t="str">
        <f>"20001"</f>
        <v>20001</v>
      </c>
      <c r="B3266" s="1" t="str">
        <f>"47894"</f>
        <v>47894</v>
      </c>
      <c r="C3266" s="1" t="str">
        <f>"WASHINGTON"</f>
        <v>WASHINGTON</v>
      </c>
      <c r="D3266" s="1" t="str">
        <f>"DC"</f>
        <v>DC</v>
      </c>
      <c r="E3266" s="2">
        <v>1</v>
      </c>
      <c r="F3266" s="2">
        <v>1</v>
      </c>
      <c r="G3266" s="2">
        <v>1</v>
      </c>
      <c r="H3266" s="2">
        <v>1</v>
      </c>
    </row>
    <row r="3267" spans="1:8" x14ac:dyDescent="0.25">
      <c r="A3267" s="1" t="str">
        <f>"20601"</f>
        <v>20601</v>
      </c>
      <c r="B3267" s="1" t="str">
        <f>"47894"</f>
        <v>47894</v>
      </c>
      <c r="C3267" s="1" t="str">
        <f>"WALDORF"</f>
        <v>WALDORF</v>
      </c>
      <c r="D3267" s="1" t="str">
        <f t="shared" ref="D3267:D3273" si="242">"MD"</f>
        <v>MD</v>
      </c>
      <c r="E3267" s="2">
        <v>1</v>
      </c>
      <c r="F3267" s="2">
        <v>1</v>
      </c>
      <c r="G3267" s="2">
        <v>1</v>
      </c>
      <c r="H3267" s="2">
        <v>1</v>
      </c>
    </row>
    <row r="3268" spans="1:8" x14ac:dyDescent="0.25">
      <c r="A3268" s="1" t="str">
        <f>"20710"</f>
        <v>20710</v>
      </c>
      <c r="B3268" s="1" t="str">
        <f>"47894"</f>
        <v>47894</v>
      </c>
      <c r="C3268" s="1" t="str">
        <f>"BLADENSBURG"</f>
        <v>BLADENSBURG</v>
      </c>
      <c r="D3268" s="1" t="str">
        <f t="shared" si="242"/>
        <v>MD</v>
      </c>
      <c r="E3268" s="2">
        <v>1</v>
      </c>
      <c r="F3268" s="2">
        <v>1</v>
      </c>
      <c r="G3268" s="2">
        <v>1</v>
      </c>
      <c r="H3268" s="2">
        <v>1</v>
      </c>
    </row>
    <row r="3269" spans="1:8" x14ac:dyDescent="0.25">
      <c r="A3269" s="1" t="str">
        <f>"20726"</f>
        <v>20726</v>
      </c>
      <c r="B3269" s="1" t="str">
        <f>"47894"</f>
        <v>47894</v>
      </c>
      <c r="C3269" s="1" t="str">
        <f>"LAUREL"</f>
        <v>LAUREL</v>
      </c>
      <c r="D3269" s="1" t="str">
        <f t="shared" si="242"/>
        <v>MD</v>
      </c>
      <c r="E3269" s="2">
        <v>1</v>
      </c>
      <c r="F3269" s="2">
        <v>1</v>
      </c>
      <c r="G3269" s="2">
        <v>1</v>
      </c>
      <c r="H3269" s="2">
        <v>1</v>
      </c>
    </row>
    <row r="3270" spans="1:8" x14ac:dyDescent="0.25">
      <c r="A3270" s="1" t="str">
        <f>"20774"</f>
        <v>20774</v>
      </c>
      <c r="B3270" s="1" t="str">
        <f>"47894"</f>
        <v>47894</v>
      </c>
      <c r="C3270" s="1" t="str">
        <f>"UPPER MARLBORO"</f>
        <v>UPPER MARLBORO</v>
      </c>
      <c r="D3270" s="1" t="str">
        <f t="shared" si="242"/>
        <v>MD</v>
      </c>
      <c r="E3270" s="2">
        <v>1</v>
      </c>
      <c r="F3270" s="2">
        <v>1</v>
      </c>
      <c r="G3270" s="2">
        <v>1</v>
      </c>
      <c r="H3270" s="2">
        <v>1</v>
      </c>
    </row>
    <row r="3271" spans="1:8" x14ac:dyDescent="0.25">
      <c r="A3271" s="1" t="str">
        <f>"20875"</f>
        <v>20875</v>
      </c>
      <c r="B3271" s="1" t="str">
        <f>"23224"</f>
        <v>23224</v>
      </c>
      <c r="C3271" s="1" t="str">
        <f>"GERMANTOWN"</f>
        <v>GERMANTOWN</v>
      </c>
      <c r="D3271" s="1" t="str">
        <f t="shared" si="242"/>
        <v>MD</v>
      </c>
      <c r="E3271" s="2">
        <v>1</v>
      </c>
      <c r="F3271" s="2">
        <v>1</v>
      </c>
      <c r="G3271" s="2">
        <v>1</v>
      </c>
      <c r="H3271" s="2">
        <v>1</v>
      </c>
    </row>
    <row r="3272" spans="1:8" x14ac:dyDescent="0.25">
      <c r="A3272" s="1" t="str">
        <f>"20886"</f>
        <v>20886</v>
      </c>
      <c r="B3272" s="1" t="str">
        <f>"23224"</f>
        <v>23224</v>
      </c>
      <c r="C3272" s="1" t="str">
        <f>"MONTGOMERY VILLAGE"</f>
        <v>MONTGOMERY VILLAGE</v>
      </c>
      <c r="D3272" s="1" t="str">
        <f t="shared" si="242"/>
        <v>MD</v>
      </c>
      <c r="E3272" s="2">
        <v>1</v>
      </c>
      <c r="F3272" s="2">
        <v>1</v>
      </c>
      <c r="G3272" s="2">
        <v>1</v>
      </c>
      <c r="H3272" s="2">
        <v>1</v>
      </c>
    </row>
    <row r="3273" spans="1:8" x14ac:dyDescent="0.25">
      <c r="A3273" s="1" t="str">
        <f>"21771"</f>
        <v>21771</v>
      </c>
      <c r="B3273" s="1" t="str">
        <f>"23224"</f>
        <v>23224</v>
      </c>
      <c r="C3273" s="1" t="str">
        <f>"MOUNT AIRY"</f>
        <v>MOUNT AIRY</v>
      </c>
      <c r="D3273" s="1" t="str">
        <f t="shared" si="242"/>
        <v>MD</v>
      </c>
      <c r="E3273" s="2">
        <v>1</v>
      </c>
      <c r="F3273" s="2">
        <v>1</v>
      </c>
      <c r="G3273" s="2">
        <v>1</v>
      </c>
      <c r="H3273" s="2">
        <v>1</v>
      </c>
    </row>
    <row r="3274" spans="1:8" x14ac:dyDescent="0.25">
      <c r="A3274" s="1" t="str">
        <f>"20109"</f>
        <v>20109</v>
      </c>
      <c r="B3274" s="1" t="str">
        <f>"47894"</f>
        <v>47894</v>
      </c>
      <c r="C3274" s="1" t="str">
        <f>"MANASSAS"</f>
        <v>MANASSAS</v>
      </c>
      <c r="D3274" s="1" t="str">
        <f>"VA"</f>
        <v>VA</v>
      </c>
      <c r="E3274" s="2">
        <v>1</v>
      </c>
      <c r="F3274" s="2">
        <v>1</v>
      </c>
      <c r="G3274" s="2">
        <v>1</v>
      </c>
      <c r="H3274" s="2">
        <v>1</v>
      </c>
    </row>
    <row r="3275" spans="1:8" x14ac:dyDescent="0.25">
      <c r="A3275" s="1" t="str">
        <f>"20120"</f>
        <v>20120</v>
      </c>
      <c r="B3275" s="1" t="str">
        <f>"47894"</f>
        <v>47894</v>
      </c>
      <c r="C3275" s="1" t="str">
        <f>"CENTREVILLE"</f>
        <v>CENTREVILLE</v>
      </c>
      <c r="D3275" s="1" t="str">
        <f>"VA"</f>
        <v>VA</v>
      </c>
      <c r="E3275" s="2">
        <v>1</v>
      </c>
      <c r="F3275" s="2">
        <v>1</v>
      </c>
      <c r="G3275" s="2">
        <v>1</v>
      </c>
      <c r="H3275" s="2">
        <v>1</v>
      </c>
    </row>
    <row r="3276" spans="1:8" x14ac:dyDescent="0.25">
      <c r="A3276" s="1" t="str">
        <f>"33019"</f>
        <v>33019</v>
      </c>
      <c r="B3276" s="1" t="str">
        <f>"22744"</f>
        <v>22744</v>
      </c>
      <c r="C3276" s="1" t="str">
        <f>"HOLLYWOOD"</f>
        <v>HOLLYWOOD</v>
      </c>
      <c r="D3276" s="1" t="str">
        <f>"FL"</f>
        <v>FL</v>
      </c>
      <c r="E3276" s="2">
        <v>1</v>
      </c>
      <c r="F3276" s="2">
        <v>1</v>
      </c>
      <c r="G3276" s="2">
        <v>1</v>
      </c>
      <c r="H3276" s="2">
        <v>1</v>
      </c>
    </row>
    <row r="3277" spans="1:8" x14ac:dyDescent="0.25">
      <c r="A3277" s="1" t="str">
        <f>"33133"</f>
        <v>33133</v>
      </c>
      <c r="B3277" s="1" t="str">
        <f>"33124"</f>
        <v>33124</v>
      </c>
      <c r="C3277" s="1" t="str">
        <f>"MIAMI"</f>
        <v>MIAMI</v>
      </c>
      <c r="D3277" s="1" t="str">
        <f>"FL"</f>
        <v>FL</v>
      </c>
      <c r="E3277" s="2">
        <v>1</v>
      </c>
      <c r="F3277" s="2">
        <v>1</v>
      </c>
      <c r="G3277" s="2">
        <v>1</v>
      </c>
      <c r="H3277" s="2">
        <v>1</v>
      </c>
    </row>
    <row r="3278" spans="1:8" x14ac:dyDescent="0.25">
      <c r="A3278" s="1" t="str">
        <f>"33189"</f>
        <v>33189</v>
      </c>
      <c r="B3278" s="1" t="str">
        <f>"33124"</f>
        <v>33124</v>
      </c>
      <c r="C3278" s="1" t="str">
        <f>"MIAMI"</f>
        <v>MIAMI</v>
      </c>
      <c r="D3278" s="1" t="str">
        <f>"FL"</f>
        <v>FL</v>
      </c>
      <c r="E3278" s="2">
        <v>1</v>
      </c>
      <c r="F3278" s="2">
        <v>1</v>
      </c>
      <c r="G3278" s="2">
        <v>1</v>
      </c>
      <c r="H3278" s="2">
        <v>1</v>
      </c>
    </row>
    <row r="3279" spans="1:8" x14ac:dyDescent="0.25">
      <c r="A3279" s="1" t="str">
        <f>"25430"</f>
        <v>25430</v>
      </c>
      <c r="B3279" s="1" t="str">
        <f>"47894"</f>
        <v>47894</v>
      </c>
      <c r="C3279" s="1" t="str">
        <f>"KEARNEYSVILLE"</f>
        <v>KEARNEYSVILLE</v>
      </c>
      <c r="D3279" s="1" t="str">
        <f>"WV"</f>
        <v>WV</v>
      </c>
      <c r="E3279" s="2">
        <v>1</v>
      </c>
      <c r="F3279" s="2">
        <v>1</v>
      </c>
      <c r="G3279" s="2">
        <v>1</v>
      </c>
      <c r="H3279" s="2">
        <v>1</v>
      </c>
    </row>
    <row r="3280" spans="1:8" x14ac:dyDescent="0.25">
      <c r="A3280" s="1" t="str">
        <f>"46408"</f>
        <v>46408</v>
      </c>
      <c r="B3280" s="1" t="str">
        <f>"23844"</f>
        <v>23844</v>
      </c>
      <c r="C3280" s="1" t="str">
        <f>"GARY"</f>
        <v>GARY</v>
      </c>
      <c r="D3280" s="1" t="str">
        <f>"IN"</f>
        <v>IN</v>
      </c>
      <c r="E3280" s="2">
        <v>1</v>
      </c>
      <c r="F3280" s="2">
        <v>1</v>
      </c>
      <c r="G3280" s="2">
        <v>1</v>
      </c>
      <c r="H3280" s="2">
        <v>1</v>
      </c>
    </row>
    <row r="3281" spans="1:8" x14ac:dyDescent="0.25">
      <c r="A3281" s="1" t="str">
        <f>"48072"</f>
        <v>48072</v>
      </c>
      <c r="B3281" s="1" t="str">
        <f>"47664"</f>
        <v>47664</v>
      </c>
      <c r="C3281" s="1" t="str">
        <f>"BERKLEY"</f>
        <v>BERKLEY</v>
      </c>
      <c r="D3281" s="1" t="str">
        <f t="shared" ref="D3281:D3287" si="243">"MI"</f>
        <v>MI</v>
      </c>
      <c r="E3281" s="2">
        <v>1</v>
      </c>
      <c r="F3281" s="2">
        <v>1</v>
      </c>
      <c r="G3281" s="2">
        <v>1</v>
      </c>
      <c r="H3281" s="2">
        <v>1</v>
      </c>
    </row>
    <row r="3282" spans="1:8" x14ac:dyDescent="0.25">
      <c r="A3282" s="1" t="str">
        <f>"48096"</f>
        <v>48096</v>
      </c>
      <c r="B3282" s="1" t="str">
        <f>"47664"</f>
        <v>47664</v>
      </c>
      <c r="C3282" s="1" t="str">
        <f>"RAY"</f>
        <v>RAY</v>
      </c>
      <c r="D3282" s="1" t="str">
        <f t="shared" si="243"/>
        <v>MI</v>
      </c>
      <c r="E3282" s="2">
        <v>1</v>
      </c>
      <c r="F3282" s="2">
        <v>1</v>
      </c>
      <c r="G3282" s="2">
        <v>1</v>
      </c>
      <c r="H3282" s="2">
        <v>1</v>
      </c>
    </row>
    <row r="3283" spans="1:8" x14ac:dyDescent="0.25">
      <c r="A3283" s="1" t="str">
        <f>"48234"</f>
        <v>48234</v>
      </c>
      <c r="B3283" s="1" t="str">
        <f>"19804"</f>
        <v>19804</v>
      </c>
      <c r="C3283" s="1" t="str">
        <f>"DETROIT"</f>
        <v>DETROIT</v>
      </c>
      <c r="D3283" s="1" t="str">
        <f t="shared" si="243"/>
        <v>MI</v>
      </c>
      <c r="E3283" s="2">
        <v>1</v>
      </c>
      <c r="F3283" s="2">
        <v>1</v>
      </c>
      <c r="G3283" s="2">
        <v>1</v>
      </c>
      <c r="H3283" s="2">
        <v>1</v>
      </c>
    </row>
    <row r="3284" spans="1:8" x14ac:dyDescent="0.25">
      <c r="A3284" s="1" t="str">
        <f>"48239"</f>
        <v>48239</v>
      </c>
      <c r="B3284" s="1" t="str">
        <f>"19804"</f>
        <v>19804</v>
      </c>
      <c r="C3284" s="1" t="str">
        <f>"REDFORD"</f>
        <v>REDFORD</v>
      </c>
      <c r="D3284" s="1" t="str">
        <f t="shared" si="243"/>
        <v>MI</v>
      </c>
      <c r="E3284" s="2">
        <v>1</v>
      </c>
      <c r="F3284" s="2">
        <v>1</v>
      </c>
      <c r="G3284" s="2">
        <v>1</v>
      </c>
      <c r="H3284" s="2">
        <v>1</v>
      </c>
    </row>
    <row r="3285" spans="1:8" x14ac:dyDescent="0.25">
      <c r="A3285" s="1" t="str">
        <f>"48314"</f>
        <v>48314</v>
      </c>
      <c r="B3285" s="1" t="str">
        <f>"47664"</f>
        <v>47664</v>
      </c>
      <c r="C3285" s="1" t="str">
        <f>"STERLING HEIGHTS"</f>
        <v>STERLING HEIGHTS</v>
      </c>
      <c r="D3285" s="1" t="str">
        <f t="shared" si="243"/>
        <v>MI</v>
      </c>
      <c r="E3285" s="2">
        <v>1</v>
      </c>
      <c r="F3285" s="2">
        <v>1</v>
      </c>
      <c r="G3285" s="2">
        <v>1</v>
      </c>
      <c r="H3285" s="2">
        <v>1</v>
      </c>
    </row>
    <row r="3286" spans="1:8" x14ac:dyDescent="0.25">
      <c r="A3286" s="1" t="str">
        <f>"48135"</f>
        <v>48135</v>
      </c>
      <c r="B3286" s="1" t="str">
        <f>"19804"</f>
        <v>19804</v>
      </c>
      <c r="C3286" s="1" t="str">
        <f>"GARDEN CITY"</f>
        <v>GARDEN CITY</v>
      </c>
      <c r="D3286" s="1" t="str">
        <f t="shared" si="243"/>
        <v>MI</v>
      </c>
      <c r="E3286" s="2">
        <v>1</v>
      </c>
      <c r="F3286" s="2">
        <v>1</v>
      </c>
      <c r="G3286" s="2">
        <v>1</v>
      </c>
      <c r="H3286" s="2">
        <v>1</v>
      </c>
    </row>
    <row r="3287" spans="1:8" x14ac:dyDescent="0.25">
      <c r="A3287" s="1" t="str">
        <f>"48438"</f>
        <v>48438</v>
      </c>
      <c r="B3287" s="1" t="str">
        <f>"47664"</f>
        <v>47664</v>
      </c>
      <c r="C3287" s="1" t="str">
        <f>"GOODRICH"</f>
        <v>GOODRICH</v>
      </c>
      <c r="D3287" s="1" t="str">
        <f t="shared" si="243"/>
        <v>MI</v>
      </c>
      <c r="E3287" s="2">
        <v>1</v>
      </c>
      <c r="F3287" s="2">
        <v>1</v>
      </c>
      <c r="G3287" s="2">
        <v>0</v>
      </c>
      <c r="H3287" s="2">
        <v>1</v>
      </c>
    </row>
    <row r="3288" spans="1:8" x14ac:dyDescent="0.25">
      <c r="A3288" s="1" t="str">
        <f>"60482"</f>
        <v>60482</v>
      </c>
      <c r="B3288" s="1" t="str">
        <f>"16984"</f>
        <v>16984</v>
      </c>
      <c r="C3288" s="1" t="str">
        <f>"WORTH"</f>
        <v>WORTH</v>
      </c>
      <c r="D3288" s="1" t="str">
        <f t="shared" ref="D3288:D3303" si="244">"IL"</f>
        <v>IL</v>
      </c>
      <c r="E3288" s="2">
        <v>1</v>
      </c>
      <c r="F3288" s="2">
        <v>1</v>
      </c>
      <c r="G3288" s="2">
        <v>1</v>
      </c>
      <c r="H3288" s="2">
        <v>1</v>
      </c>
    </row>
    <row r="3289" spans="1:8" x14ac:dyDescent="0.25">
      <c r="A3289" s="1" t="str">
        <f>"60479"</f>
        <v>60479</v>
      </c>
      <c r="B3289" s="1" t="str">
        <f>"16984"</f>
        <v>16984</v>
      </c>
      <c r="C3289" s="1" t="str">
        <f>"VERONA"</f>
        <v>VERONA</v>
      </c>
      <c r="D3289" s="1" t="str">
        <f t="shared" si="244"/>
        <v>IL</v>
      </c>
      <c r="E3289" s="2">
        <v>1</v>
      </c>
      <c r="F3289" s="2">
        <v>1</v>
      </c>
      <c r="G3289" s="2">
        <v>0</v>
      </c>
      <c r="H3289" s="2">
        <v>1</v>
      </c>
    </row>
    <row r="3290" spans="1:8" x14ac:dyDescent="0.25">
      <c r="A3290" s="1" t="str">
        <f>"60545"</f>
        <v>60545</v>
      </c>
      <c r="B3290" s="1" t="str">
        <f>"20994"</f>
        <v>20994</v>
      </c>
      <c r="C3290" s="1" t="str">
        <f>"PLANO"</f>
        <v>PLANO</v>
      </c>
      <c r="D3290" s="1" t="str">
        <f t="shared" si="244"/>
        <v>IL</v>
      </c>
      <c r="E3290" s="2">
        <v>1</v>
      </c>
      <c r="F3290" s="2">
        <v>1</v>
      </c>
      <c r="G3290" s="2">
        <v>1</v>
      </c>
      <c r="H3290" s="2">
        <v>1</v>
      </c>
    </row>
    <row r="3291" spans="1:8" x14ac:dyDescent="0.25">
      <c r="A3291" s="1" t="str">
        <f>"60154"</f>
        <v>60154</v>
      </c>
      <c r="B3291" s="1" t="str">
        <f>"16984"</f>
        <v>16984</v>
      </c>
      <c r="C3291" s="1" t="str">
        <f>"WESTCHESTER"</f>
        <v>WESTCHESTER</v>
      </c>
      <c r="D3291" s="1" t="str">
        <f t="shared" si="244"/>
        <v>IL</v>
      </c>
      <c r="E3291" s="2">
        <v>1</v>
      </c>
      <c r="F3291" s="2">
        <v>1</v>
      </c>
      <c r="G3291" s="2">
        <v>1</v>
      </c>
      <c r="H3291" s="2">
        <v>1</v>
      </c>
    </row>
    <row r="3292" spans="1:8" x14ac:dyDescent="0.25">
      <c r="A3292" s="1" t="str">
        <f>"60011"</f>
        <v>60011</v>
      </c>
      <c r="B3292" s="1" t="str">
        <f>"29404"</f>
        <v>29404</v>
      </c>
      <c r="C3292" s="1" t="str">
        <f>"BARRINGTON"</f>
        <v>BARRINGTON</v>
      </c>
      <c r="D3292" s="1" t="str">
        <f t="shared" si="244"/>
        <v>IL</v>
      </c>
      <c r="E3292" s="2">
        <v>0.71526418786692703</v>
      </c>
      <c r="F3292" s="2">
        <v>0.58086560364464601</v>
      </c>
      <c r="G3292" s="2">
        <v>0.5</v>
      </c>
      <c r="H3292" s="2">
        <v>0.69119420989143499</v>
      </c>
    </row>
    <row r="3293" spans="1:8" x14ac:dyDescent="0.25">
      <c r="A3293" s="1" t="str">
        <f>"60011"</f>
        <v>60011</v>
      </c>
      <c r="B3293" s="1" t="str">
        <f>"16984"</f>
        <v>16984</v>
      </c>
      <c r="C3293" s="1" t="str">
        <f>"BARRINGTON"</f>
        <v>BARRINGTON</v>
      </c>
      <c r="D3293" s="1" t="str">
        <f t="shared" si="244"/>
        <v>IL</v>
      </c>
      <c r="E3293" s="2">
        <v>0.28473581213307197</v>
      </c>
      <c r="F3293" s="2">
        <v>0.41913439635535299</v>
      </c>
      <c r="G3293" s="2">
        <v>0.5</v>
      </c>
      <c r="H3293" s="2">
        <v>0.30880579010856402</v>
      </c>
    </row>
    <row r="3294" spans="1:8" x14ac:dyDescent="0.25">
      <c r="A3294" s="1" t="str">
        <f>"60021"</f>
        <v>60021</v>
      </c>
      <c r="B3294" s="1" t="str">
        <f>"29404"</f>
        <v>29404</v>
      </c>
      <c r="C3294" s="1" t="str">
        <f>"FOX RIVER GROVE"</f>
        <v>FOX RIVER GROVE</v>
      </c>
      <c r="D3294" s="1" t="str">
        <f t="shared" si="244"/>
        <v>IL</v>
      </c>
      <c r="E3294" s="2">
        <v>6.2615101289134403E-2</v>
      </c>
      <c r="F3294" s="2">
        <v>0</v>
      </c>
      <c r="G3294" s="2">
        <v>0</v>
      </c>
      <c r="H3294" s="2">
        <v>5.5105348460291699E-2</v>
      </c>
    </row>
    <row r="3295" spans="1:8" x14ac:dyDescent="0.25">
      <c r="A3295" s="1" t="str">
        <f>"60021"</f>
        <v>60021</v>
      </c>
      <c r="B3295" s="1" t="str">
        <f>"16984"</f>
        <v>16984</v>
      </c>
      <c r="C3295" s="1" t="str">
        <f>"FOX RIVER GROVE"</f>
        <v>FOX RIVER GROVE</v>
      </c>
      <c r="D3295" s="1" t="str">
        <f t="shared" si="244"/>
        <v>IL</v>
      </c>
      <c r="E3295" s="2">
        <v>0.93738489871086506</v>
      </c>
      <c r="F3295" s="2">
        <v>1</v>
      </c>
      <c r="G3295" s="2">
        <v>1</v>
      </c>
      <c r="H3295" s="2">
        <v>0.94489465153970797</v>
      </c>
    </row>
    <row r="3296" spans="1:8" x14ac:dyDescent="0.25">
      <c r="A3296" s="1" t="str">
        <f>"60087"</f>
        <v>60087</v>
      </c>
      <c r="B3296" s="1" t="str">
        <f>"29404"</f>
        <v>29404</v>
      </c>
      <c r="C3296" s="1" t="str">
        <f>"WAUKEGAN"</f>
        <v>WAUKEGAN</v>
      </c>
      <c r="D3296" s="1" t="str">
        <f t="shared" si="244"/>
        <v>IL</v>
      </c>
      <c r="E3296" s="2">
        <v>1</v>
      </c>
      <c r="F3296" s="2">
        <v>1</v>
      </c>
      <c r="G3296" s="2">
        <v>1</v>
      </c>
      <c r="H3296" s="2">
        <v>1</v>
      </c>
    </row>
    <row r="3297" spans="1:8" x14ac:dyDescent="0.25">
      <c r="A3297" s="1" t="str">
        <f>"60089"</f>
        <v>60089</v>
      </c>
      <c r="B3297" s="1" t="str">
        <f>"16984"</f>
        <v>16984</v>
      </c>
      <c r="C3297" s="1" t="str">
        <f>"BUFFALO GROVE"</f>
        <v>BUFFALO GROVE</v>
      </c>
      <c r="D3297" s="1" t="str">
        <f t="shared" si="244"/>
        <v>IL</v>
      </c>
      <c r="E3297" s="2">
        <v>0.33474250576479597</v>
      </c>
      <c r="F3297" s="2">
        <v>0.216184288245717</v>
      </c>
      <c r="G3297" s="2">
        <v>0.40544412607449798</v>
      </c>
      <c r="H3297" s="2">
        <v>0.32739626304295</v>
      </c>
    </row>
    <row r="3298" spans="1:8" x14ac:dyDescent="0.25">
      <c r="A3298" s="1" t="str">
        <f>"60089"</f>
        <v>60089</v>
      </c>
      <c r="B3298" s="1" t="str">
        <f>"29404"</f>
        <v>29404</v>
      </c>
      <c r="C3298" s="1" t="str">
        <f>"BUFFALO GROVE"</f>
        <v>BUFFALO GROVE</v>
      </c>
      <c r="D3298" s="1" t="str">
        <f t="shared" si="244"/>
        <v>IL</v>
      </c>
      <c r="E3298" s="2">
        <v>0.66525749423520297</v>
      </c>
      <c r="F3298" s="2">
        <v>0.783815711754282</v>
      </c>
      <c r="G3298" s="2">
        <v>0.59455587392550102</v>
      </c>
      <c r="H3298" s="2">
        <v>0.672603736957049</v>
      </c>
    </row>
    <row r="3299" spans="1:8" x14ac:dyDescent="0.25">
      <c r="A3299" s="1" t="str">
        <f>"60101"</f>
        <v>60101</v>
      </c>
      <c r="B3299" s="1" t="str">
        <f>"16984"</f>
        <v>16984</v>
      </c>
      <c r="C3299" s="1" t="str">
        <f>"ADDISON"</f>
        <v>ADDISON</v>
      </c>
      <c r="D3299" s="1" t="str">
        <f t="shared" si="244"/>
        <v>IL</v>
      </c>
      <c r="E3299" s="2">
        <v>1</v>
      </c>
      <c r="F3299" s="2">
        <v>1</v>
      </c>
      <c r="G3299" s="2">
        <v>1</v>
      </c>
      <c r="H3299" s="2">
        <v>1</v>
      </c>
    </row>
    <row r="3300" spans="1:8" x14ac:dyDescent="0.25">
      <c r="A3300" s="1" t="str">
        <f>"60202"</f>
        <v>60202</v>
      </c>
      <c r="B3300" s="1" t="str">
        <f>"16984"</f>
        <v>16984</v>
      </c>
      <c r="C3300" s="1" t="str">
        <f>"EVANSTON"</f>
        <v>EVANSTON</v>
      </c>
      <c r="D3300" s="1" t="str">
        <f t="shared" si="244"/>
        <v>IL</v>
      </c>
      <c r="E3300" s="2">
        <v>1</v>
      </c>
      <c r="F3300" s="2">
        <v>1</v>
      </c>
      <c r="G3300" s="2">
        <v>1</v>
      </c>
      <c r="H3300" s="2">
        <v>1</v>
      </c>
    </row>
    <row r="3301" spans="1:8" x14ac:dyDescent="0.25">
      <c r="A3301" s="1" t="str">
        <f>"60183"</f>
        <v>60183</v>
      </c>
      <c r="B3301" s="1" t="str">
        <f>"20994"</f>
        <v>20994</v>
      </c>
      <c r="C3301" s="1" t="str">
        <f>"WASCO"</f>
        <v>WASCO</v>
      </c>
      <c r="D3301" s="1" t="str">
        <f t="shared" si="244"/>
        <v>IL</v>
      </c>
      <c r="E3301" s="2">
        <v>1</v>
      </c>
      <c r="F3301" s="2">
        <v>1</v>
      </c>
      <c r="G3301" s="2">
        <v>1</v>
      </c>
      <c r="H3301" s="2">
        <v>1</v>
      </c>
    </row>
    <row r="3302" spans="1:8" x14ac:dyDescent="0.25">
      <c r="A3302" s="1" t="str">
        <f>"60611"</f>
        <v>60611</v>
      </c>
      <c r="B3302" s="1" t="str">
        <f>"16984"</f>
        <v>16984</v>
      </c>
      <c r="C3302" s="1" t="str">
        <f>"CHICAGO"</f>
        <v>CHICAGO</v>
      </c>
      <c r="D3302" s="1" t="str">
        <f t="shared" si="244"/>
        <v>IL</v>
      </c>
      <c r="E3302" s="2">
        <v>1</v>
      </c>
      <c r="F3302" s="2">
        <v>1</v>
      </c>
      <c r="G3302" s="2">
        <v>1</v>
      </c>
      <c r="H3302" s="2">
        <v>1</v>
      </c>
    </row>
    <row r="3303" spans="1:8" x14ac:dyDescent="0.25">
      <c r="A3303" s="1" t="str">
        <f>"60631"</f>
        <v>60631</v>
      </c>
      <c r="B3303" s="1" t="str">
        <f>"16984"</f>
        <v>16984</v>
      </c>
      <c r="C3303" s="1" t="str">
        <f>"CHICAGO"</f>
        <v>CHICAGO</v>
      </c>
      <c r="D3303" s="1" t="str">
        <f t="shared" si="244"/>
        <v>IL</v>
      </c>
      <c r="E3303" s="2">
        <v>1</v>
      </c>
      <c r="F3303" s="2">
        <v>1</v>
      </c>
      <c r="G3303" s="2">
        <v>1</v>
      </c>
      <c r="H3303" s="2">
        <v>1</v>
      </c>
    </row>
    <row r="3304" spans="1:8" x14ac:dyDescent="0.25">
      <c r="A3304" s="1" t="str">
        <f>"75028"</f>
        <v>75028</v>
      </c>
      <c r="B3304" s="1" t="str">
        <f>"23104"</f>
        <v>23104</v>
      </c>
      <c r="C3304" s="1" t="str">
        <f>"FLOWER MOUND"</f>
        <v>FLOWER MOUND</v>
      </c>
      <c r="D3304" s="1" t="str">
        <f t="shared" ref="D3304:D3319" si="245">"TX"</f>
        <v>TX</v>
      </c>
      <c r="E3304" s="2">
        <v>2.7050421986582902E-4</v>
      </c>
      <c r="F3304" s="2">
        <v>1.06761565836298E-2</v>
      </c>
      <c r="G3304" s="2">
        <v>9.2807424593967496E-3</v>
      </c>
      <c r="H3304" s="2">
        <v>1.1811023622047201E-3</v>
      </c>
    </row>
    <row r="3305" spans="1:8" x14ac:dyDescent="0.25">
      <c r="A3305" s="1" t="str">
        <f>"75028"</f>
        <v>75028</v>
      </c>
      <c r="B3305" s="1" t="str">
        <f t="shared" ref="B3305:B3311" si="246">"19124"</f>
        <v>19124</v>
      </c>
      <c r="C3305" s="1" t="str">
        <f>"FLOWER MOUND"</f>
        <v>FLOWER MOUND</v>
      </c>
      <c r="D3305" s="1" t="str">
        <f t="shared" si="245"/>
        <v>TX</v>
      </c>
      <c r="E3305" s="2">
        <v>0.99972949578013404</v>
      </c>
      <c r="F3305" s="2">
        <v>0.98932384341637003</v>
      </c>
      <c r="G3305" s="2">
        <v>0.99071925754060297</v>
      </c>
      <c r="H3305" s="2">
        <v>0.99881889763779497</v>
      </c>
    </row>
    <row r="3306" spans="1:8" x14ac:dyDescent="0.25">
      <c r="A3306" s="1" t="str">
        <f>"75032"</f>
        <v>75032</v>
      </c>
      <c r="B3306" s="1" t="str">
        <f t="shared" si="246"/>
        <v>19124</v>
      </c>
      <c r="C3306" s="1" t="str">
        <f>"ROCKWALL"</f>
        <v>ROCKWALL</v>
      </c>
      <c r="D3306" s="1" t="str">
        <f t="shared" si="245"/>
        <v>TX</v>
      </c>
      <c r="E3306" s="2">
        <v>1</v>
      </c>
      <c r="F3306" s="2">
        <v>1</v>
      </c>
      <c r="G3306" s="2">
        <v>1</v>
      </c>
      <c r="H3306" s="2">
        <v>1</v>
      </c>
    </row>
    <row r="3307" spans="1:8" x14ac:dyDescent="0.25">
      <c r="A3307" s="1" t="str">
        <f>"75236"</f>
        <v>75236</v>
      </c>
      <c r="B3307" s="1" t="str">
        <f t="shared" si="246"/>
        <v>19124</v>
      </c>
      <c r="C3307" s="1" t="str">
        <f>"DALLAS"</f>
        <v>DALLAS</v>
      </c>
      <c r="D3307" s="1" t="str">
        <f t="shared" si="245"/>
        <v>TX</v>
      </c>
      <c r="E3307" s="2">
        <v>1</v>
      </c>
      <c r="F3307" s="2">
        <v>1</v>
      </c>
      <c r="G3307" s="2">
        <v>1</v>
      </c>
      <c r="H3307" s="2">
        <v>1</v>
      </c>
    </row>
    <row r="3308" spans="1:8" x14ac:dyDescent="0.25">
      <c r="A3308" s="1" t="str">
        <f>"75336"</f>
        <v>75336</v>
      </c>
      <c r="B3308" s="1" t="str">
        <f t="shared" si="246"/>
        <v>19124</v>
      </c>
      <c r="C3308" s="1" t="str">
        <f>"DALLAS"</f>
        <v>DALLAS</v>
      </c>
      <c r="D3308" s="1" t="str">
        <f t="shared" si="245"/>
        <v>TX</v>
      </c>
      <c r="E3308" s="2">
        <v>1</v>
      </c>
      <c r="F3308" s="2">
        <v>1</v>
      </c>
      <c r="G3308" s="2">
        <v>1</v>
      </c>
      <c r="H3308" s="2">
        <v>1</v>
      </c>
    </row>
    <row r="3309" spans="1:8" x14ac:dyDescent="0.25">
      <c r="A3309" s="1" t="str">
        <f>"75342"</f>
        <v>75342</v>
      </c>
      <c r="B3309" s="1" t="str">
        <f t="shared" si="246"/>
        <v>19124</v>
      </c>
      <c r="C3309" s="1" t="str">
        <f>"DALLAS"</f>
        <v>DALLAS</v>
      </c>
      <c r="D3309" s="1" t="str">
        <f t="shared" si="245"/>
        <v>TX</v>
      </c>
      <c r="E3309" s="2">
        <v>1</v>
      </c>
      <c r="F3309" s="2">
        <v>1</v>
      </c>
      <c r="G3309" s="2">
        <v>1</v>
      </c>
      <c r="H3309" s="2">
        <v>1</v>
      </c>
    </row>
    <row r="3310" spans="1:8" x14ac:dyDescent="0.25">
      <c r="A3310" s="1" t="str">
        <f>"75071"</f>
        <v>75071</v>
      </c>
      <c r="B3310" s="1" t="str">
        <f t="shared" si="246"/>
        <v>19124</v>
      </c>
      <c r="C3310" s="1" t="str">
        <f>"MCKINNEY"</f>
        <v>MCKINNEY</v>
      </c>
      <c r="D3310" s="1" t="str">
        <f t="shared" si="245"/>
        <v>TX</v>
      </c>
      <c r="E3310" s="2">
        <v>1</v>
      </c>
      <c r="F3310" s="2">
        <v>1</v>
      </c>
      <c r="G3310" s="2">
        <v>1</v>
      </c>
      <c r="H3310" s="2">
        <v>1</v>
      </c>
    </row>
    <row r="3311" spans="1:8" x14ac:dyDescent="0.25">
      <c r="A3311" s="1" t="str">
        <f>"75149"</f>
        <v>75149</v>
      </c>
      <c r="B3311" s="1" t="str">
        <f t="shared" si="246"/>
        <v>19124</v>
      </c>
      <c r="C3311" s="1" t="str">
        <f>"MESQUITE"</f>
        <v>MESQUITE</v>
      </c>
      <c r="D3311" s="1" t="str">
        <f t="shared" si="245"/>
        <v>TX</v>
      </c>
      <c r="E3311" s="2">
        <v>1</v>
      </c>
      <c r="F3311" s="2">
        <v>1</v>
      </c>
      <c r="G3311" s="2">
        <v>1</v>
      </c>
      <c r="H3311" s="2">
        <v>1</v>
      </c>
    </row>
    <row r="3312" spans="1:8" x14ac:dyDescent="0.25">
      <c r="A3312" s="1" t="str">
        <f>"76084"</f>
        <v>76084</v>
      </c>
      <c r="B3312" s="1" t="str">
        <f>"23104"</f>
        <v>23104</v>
      </c>
      <c r="C3312" s="1" t="str">
        <f>"VENUS"</f>
        <v>VENUS</v>
      </c>
      <c r="D3312" s="1" t="str">
        <f t="shared" si="245"/>
        <v>TX</v>
      </c>
      <c r="E3312" s="2">
        <v>0.85020622422197201</v>
      </c>
      <c r="F3312" s="2">
        <v>0.87878787878787801</v>
      </c>
      <c r="G3312" s="2">
        <v>0.74509803921568596</v>
      </c>
      <c r="H3312" s="2">
        <v>0.84974471188913203</v>
      </c>
    </row>
    <row r="3313" spans="1:8" x14ac:dyDescent="0.25">
      <c r="A3313" s="1" t="str">
        <f>"76084"</f>
        <v>76084</v>
      </c>
      <c r="B3313" s="1" t="str">
        <f>"19124"</f>
        <v>19124</v>
      </c>
      <c r="C3313" s="1" t="str">
        <f>"VENUS"</f>
        <v>VENUS</v>
      </c>
      <c r="D3313" s="1" t="str">
        <f t="shared" si="245"/>
        <v>TX</v>
      </c>
      <c r="E3313" s="2">
        <v>0.14979377577802699</v>
      </c>
      <c r="F3313" s="2">
        <v>0.12121212121212099</v>
      </c>
      <c r="G3313" s="2">
        <v>0.25490196078431299</v>
      </c>
      <c r="H3313" s="2">
        <v>0.150255288110867</v>
      </c>
    </row>
    <row r="3314" spans="1:8" x14ac:dyDescent="0.25">
      <c r="A3314" s="1" t="str">
        <f>"76059"</f>
        <v>76059</v>
      </c>
      <c r="B3314" s="1" t="str">
        <f>"23104"</f>
        <v>23104</v>
      </c>
      <c r="C3314" s="1" t="str">
        <f>"KEENE"</f>
        <v>KEENE</v>
      </c>
      <c r="D3314" s="1" t="str">
        <f t="shared" si="245"/>
        <v>TX</v>
      </c>
      <c r="E3314" s="2">
        <v>1</v>
      </c>
      <c r="F3314" s="2">
        <v>1</v>
      </c>
      <c r="G3314" s="2">
        <v>1</v>
      </c>
      <c r="H3314" s="2">
        <v>1</v>
      </c>
    </row>
    <row r="3315" spans="1:8" x14ac:dyDescent="0.25">
      <c r="A3315" s="1" t="str">
        <f>"76210"</f>
        <v>76210</v>
      </c>
      <c r="B3315" s="1" t="str">
        <f>"19124"</f>
        <v>19124</v>
      </c>
      <c r="C3315" s="1" t="str">
        <f>"DENTON"</f>
        <v>DENTON</v>
      </c>
      <c r="D3315" s="1" t="str">
        <f t="shared" si="245"/>
        <v>TX</v>
      </c>
      <c r="E3315" s="2">
        <v>1</v>
      </c>
      <c r="F3315" s="2">
        <v>1</v>
      </c>
      <c r="G3315" s="2">
        <v>1</v>
      </c>
      <c r="H3315" s="2">
        <v>1</v>
      </c>
    </row>
    <row r="3316" spans="1:8" x14ac:dyDescent="0.25">
      <c r="A3316" s="1" t="str">
        <f>"76118"</f>
        <v>76118</v>
      </c>
      <c r="B3316" s="1" t="str">
        <f>"23104"</f>
        <v>23104</v>
      </c>
      <c r="C3316" s="1" t="str">
        <f>"FORT WORTH"</f>
        <v>FORT WORTH</v>
      </c>
      <c r="D3316" s="1" t="str">
        <f t="shared" si="245"/>
        <v>TX</v>
      </c>
      <c r="E3316" s="2">
        <v>1</v>
      </c>
      <c r="F3316" s="2">
        <v>1</v>
      </c>
      <c r="G3316" s="2">
        <v>1</v>
      </c>
      <c r="H3316" s="2">
        <v>1</v>
      </c>
    </row>
    <row r="3317" spans="1:8" x14ac:dyDescent="0.25">
      <c r="A3317" s="1" t="str">
        <f>"76010"</f>
        <v>76010</v>
      </c>
      <c r="B3317" s="1" t="str">
        <f>"23104"</f>
        <v>23104</v>
      </c>
      <c r="C3317" s="1" t="str">
        <f>"ARLINGTON"</f>
        <v>ARLINGTON</v>
      </c>
      <c r="D3317" s="1" t="str">
        <f t="shared" si="245"/>
        <v>TX</v>
      </c>
      <c r="E3317" s="2">
        <v>1</v>
      </c>
      <c r="F3317" s="2">
        <v>1</v>
      </c>
      <c r="G3317" s="2">
        <v>1</v>
      </c>
      <c r="H3317" s="2">
        <v>1</v>
      </c>
    </row>
    <row r="3318" spans="1:8" x14ac:dyDescent="0.25">
      <c r="A3318" s="1" t="str">
        <f>"76259"</f>
        <v>76259</v>
      </c>
      <c r="B3318" s="1" t="str">
        <f>"19124"</f>
        <v>19124</v>
      </c>
      <c r="C3318" s="1" t="str">
        <f>"PONDER"</f>
        <v>PONDER</v>
      </c>
      <c r="D3318" s="1" t="str">
        <f t="shared" si="245"/>
        <v>TX</v>
      </c>
      <c r="E3318" s="2">
        <v>0.99930747922437602</v>
      </c>
      <c r="F3318" s="2">
        <v>1</v>
      </c>
      <c r="G3318" s="2">
        <v>1</v>
      </c>
      <c r="H3318" s="2">
        <v>0.99935979513444295</v>
      </c>
    </row>
    <row r="3319" spans="1:8" x14ac:dyDescent="0.25">
      <c r="A3319" s="1" t="str">
        <f>"76259"</f>
        <v>76259</v>
      </c>
      <c r="B3319" s="1" t="str">
        <f>"23104"</f>
        <v>23104</v>
      </c>
      <c r="C3319" s="1" t="str">
        <f>"PONDER"</f>
        <v>PONDER</v>
      </c>
      <c r="D3319" s="1" t="str">
        <f t="shared" si="245"/>
        <v>TX</v>
      </c>
      <c r="E3319" s="2">
        <v>6.9252077562326805E-4</v>
      </c>
      <c r="F3319" s="2">
        <v>0</v>
      </c>
      <c r="G3319" s="2">
        <v>0</v>
      </c>
      <c r="H3319" s="2">
        <v>6.4020486555697799E-4</v>
      </c>
    </row>
    <row r="3320" spans="1:8" x14ac:dyDescent="0.25">
      <c r="A3320" s="1" t="str">
        <f>"90028"</f>
        <v>90028</v>
      </c>
      <c r="B3320" s="1" t="str">
        <f t="shared" ref="B3320:B3325" si="247">"31084"</f>
        <v>31084</v>
      </c>
      <c r="C3320" s="1" t="str">
        <f>"LOS ANGELES"</f>
        <v>LOS ANGELES</v>
      </c>
      <c r="D3320" s="1" t="str">
        <f t="shared" ref="D3320:D3336" si="248">"CA"</f>
        <v>CA</v>
      </c>
      <c r="E3320" s="2">
        <v>1</v>
      </c>
      <c r="F3320" s="2">
        <v>1</v>
      </c>
      <c r="G3320" s="2">
        <v>1</v>
      </c>
      <c r="H3320" s="2">
        <v>1</v>
      </c>
    </row>
    <row r="3321" spans="1:8" x14ac:dyDescent="0.25">
      <c r="A3321" s="1" t="str">
        <f>"90047"</f>
        <v>90047</v>
      </c>
      <c r="B3321" s="1" t="str">
        <f t="shared" si="247"/>
        <v>31084</v>
      </c>
      <c r="C3321" s="1" t="str">
        <f>"LOS ANGELES"</f>
        <v>LOS ANGELES</v>
      </c>
      <c r="D3321" s="1" t="str">
        <f t="shared" si="248"/>
        <v>CA</v>
      </c>
      <c r="E3321" s="2">
        <v>1</v>
      </c>
      <c r="F3321" s="2">
        <v>1</v>
      </c>
      <c r="G3321" s="2">
        <v>1</v>
      </c>
      <c r="H3321" s="2">
        <v>1</v>
      </c>
    </row>
    <row r="3322" spans="1:8" x14ac:dyDescent="0.25">
      <c r="A3322" s="1" t="str">
        <f>"90670"</f>
        <v>90670</v>
      </c>
      <c r="B3322" s="1" t="str">
        <f t="shared" si="247"/>
        <v>31084</v>
      </c>
      <c r="C3322" s="1" t="str">
        <f>"SANTA FE SPRINGS"</f>
        <v>SANTA FE SPRINGS</v>
      </c>
      <c r="D3322" s="1" t="str">
        <f t="shared" si="248"/>
        <v>CA</v>
      </c>
      <c r="E3322" s="2">
        <v>1</v>
      </c>
      <c r="F3322" s="2">
        <v>1</v>
      </c>
      <c r="G3322" s="2">
        <v>1</v>
      </c>
      <c r="H3322" s="2">
        <v>1</v>
      </c>
    </row>
    <row r="3323" spans="1:8" x14ac:dyDescent="0.25">
      <c r="A3323" s="1" t="str">
        <f>"90715"</f>
        <v>90715</v>
      </c>
      <c r="B3323" s="1" t="str">
        <f t="shared" si="247"/>
        <v>31084</v>
      </c>
      <c r="C3323" s="1" t="str">
        <f>"LAKEWOOD"</f>
        <v>LAKEWOOD</v>
      </c>
      <c r="D3323" s="1" t="str">
        <f t="shared" si="248"/>
        <v>CA</v>
      </c>
      <c r="E3323" s="2">
        <v>1</v>
      </c>
      <c r="F3323" s="2">
        <v>1</v>
      </c>
      <c r="G3323" s="2">
        <v>1</v>
      </c>
      <c r="H3323" s="2">
        <v>1</v>
      </c>
    </row>
    <row r="3324" spans="1:8" x14ac:dyDescent="0.25">
      <c r="A3324" s="1" t="str">
        <f>"90806"</f>
        <v>90806</v>
      </c>
      <c r="B3324" s="1" t="str">
        <f t="shared" si="247"/>
        <v>31084</v>
      </c>
      <c r="C3324" s="1" t="str">
        <f>"LONG BEACH"</f>
        <v>LONG BEACH</v>
      </c>
      <c r="D3324" s="1" t="str">
        <f t="shared" si="248"/>
        <v>CA</v>
      </c>
      <c r="E3324" s="2">
        <v>1</v>
      </c>
      <c r="F3324" s="2">
        <v>1</v>
      </c>
      <c r="G3324" s="2">
        <v>1</v>
      </c>
      <c r="H3324" s="2">
        <v>1</v>
      </c>
    </row>
    <row r="3325" spans="1:8" x14ac:dyDescent="0.25">
      <c r="A3325" s="1" t="str">
        <f>"91006"</f>
        <v>91006</v>
      </c>
      <c r="B3325" s="1" t="str">
        <f t="shared" si="247"/>
        <v>31084</v>
      </c>
      <c r="C3325" s="1" t="str">
        <f>"ARCADIA"</f>
        <v>ARCADIA</v>
      </c>
      <c r="D3325" s="1" t="str">
        <f t="shared" si="248"/>
        <v>CA</v>
      </c>
      <c r="E3325" s="2">
        <v>1</v>
      </c>
      <c r="F3325" s="2">
        <v>1</v>
      </c>
      <c r="G3325" s="2">
        <v>1</v>
      </c>
      <c r="H3325" s="2">
        <v>1</v>
      </c>
    </row>
    <row r="3326" spans="1:8" x14ac:dyDescent="0.25">
      <c r="A3326" s="1" t="str">
        <f>"92688"</f>
        <v>92688</v>
      </c>
      <c r="B3326" s="1" t="str">
        <f>"11244"</f>
        <v>11244</v>
      </c>
      <c r="C3326" s="1" t="str">
        <f>"RANCHO SANTA MARGARITA"</f>
        <v>RANCHO SANTA MARGARITA</v>
      </c>
      <c r="D3326" s="1" t="str">
        <f t="shared" si="248"/>
        <v>CA</v>
      </c>
      <c r="E3326" s="2">
        <v>1</v>
      </c>
      <c r="F3326" s="2">
        <v>1</v>
      </c>
      <c r="G3326" s="2">
        <v>1</v>
      </c>
      <c r="H3326" s="2">
        <v>1</v>
      </c>
    </row>
    <row r="3327" spans="1:8" x14ac:dyDescent="0.25">
      <c r="A3327" s="1" t="str">
        <f>"92662"</f>
        <v>92662</v>
      </c>
      <c r="B3327" s="1" t="str">
        <f>"11244"</f>
        <v>11244</v>
      </c>
      <c r="C3327" s="1" t="str">
        <f>"NEWPORT BEACH"</f>
        <v>NEWPORT BEACH</v>
      </c>
      <c r="D3327" s="1" t="str">
        <f t="shared" si="248"/>
        <v>CA</v>
      </c>
      <c r="E3327" s="2">
        <v>1</v>
      </c>
      <c r="F3327" s="2">
        <v>1</v>
      </c>
      <c r="G3327" s="2">
        <v>1</v>
      </c>
      <c r="H3327" s="2">
        <v>1</v>
      </c>
    </row>
    <row r="3328" spans="1:8" x14ac:dyDescent="0.25">
      <c r="A3328" s="1" t="str">
        <f>"92694"</f>
        <v>92694</v>
      </c>
      <c r="B3328" s="1" t="str">
        <f>"11244"</f>
        <v>11244</v>
      </c>
      <c r="C3328" s="1" t="str">
        <f>"LADERA RANCH"</f>
        <v>LADERA RANCH</v>
      </c>
      <c r="D3328" s="1" t="str">
        <f t="shared" si="248"/>
        <v>CA</v>
      </c>
      <c r="E3328" s="2">
        <v>1</v>
      </c>
      <c r="F3328" s="2">
        <v>1</v>
      </c>
      <c r="G3328" s="2">
        <v>1</v>
      </c>
      <c r="H3328" s="2">
        <v>1</v>
      </c>
    </row>
    <row r="3329" spans="1:8" x14ac:dyDescent="0.25">
      <c r="A3329" s="1" t="str">
        <f>"92602"</f>
        <v>92602</v>
      </c>
      <c r="B3329" s="1" t="str">
        <f>"11244"</f>
        <v>11244</v>
      </c>
      <c r="C3329" s="1" t="str">
        <f>"IRVINE"</f>
        <v>IRVINE</v>
      </c>
      <c r="D3329" s="1" t="str">
        <f t="shared" si="248"/>
        <v>CA</v>
      </c>
      <c r="E3329" s="2">
        <v>1</v>
      </c>
      <c r="F3329" s="2">
        <v>1</v>
      </c>
      <c r="G3329" s="2">
        <v>1</v>
      </c>
      <c r="H3329" s="2">
        <v>1</v>
      </c>
    </row>
    <row r="3330" spans="1:8" x14ac:dyDescent="0.25">
      <c r="A3330" s="1" t="str">
        <f>"92646"</f>
        <v>92646</v>
      </c>
      <c r="B3330" s="1" t="str">
        <f>"11244"</f>
        <v>11244</v>
      </c>
      <c r="C3330" s="1" t="str">
        <f>"HUNTINGTON BEACH"</f>
        <v>HUNTINGTON BEACH</v>
      </c>
      <c r="D3330" s="1" t="str">
        <f t="shared" si="248"/>
        <v>CA</v>
      </c>
      <c r="E3330" s="2">
        <v>1</v>
      </c>
      <c r="F3330" s="2">
        <v>1</v>
      </c>
      <c r="G3330" s="2">
        <v>1</v>
      </c>
      <c r="H3330" s="2">
        <v>1</v>
      </c>
    </row>
    <row r="3331" spans="1:8" x14ac:dyDescent="0.25">
      <c r="A3331" s="1" t="str">
        <f>"94117"</f>
        <v>94117</v>
      </c>
      <c r="B3331" s="1" t="str">
        <f>"41884"</f>
        <v>41884</v>
      </c>
      <c r="C3331" s="1" t="str">
        <f>"SAN FRANCISCO"</f>
        <v>SAN FRANCISCO</v>
      </c>
      <c r="D3331" s="1" t="str">
        <f t="shared" si="248"/>
        <v>CA</v>
      </c>
      <c r="E3331" s="2">
        <v>1</v>
      </c>
      <c r="F3331" s="2">
        <v>1</v>
      </c>
      <c r="G3331" s="2">
        <v>1</v>
      </c>
      <c r="H3331" s="2">
        <v>1</v>
      </c>
    </row>
    <row r="3332" spans="1:8" x14ac:dyDescent="0.25">
      <c r="A3332" s="1" t="str">
        <f>"94521"</f>
        <v>94521</v>
      </c>
      <c r="B3332" s="1" t="str">
        <f>"36084"</f>
        <v>36084</v>
      </c>
      <c r="C3332" s="1" t="str">
        <f>"CONCORD"</f>
        <v>CONCORD</v>
      </c>
      <c r="D3332" s="1" t="str">
        <f t="shared" si="248"/>
        <v>CA</v>
      </c>
      <c r="E3332" s="2">
        <v>1</v>
      </c>
      <c r="F3332" s="2">
        <v>1</v>
      </c>
      <c r="G3332" s="2">
        <v>1</v>
      </c>
      <c r="H3332" s="2">
        <v>1</v>
      </c>
    </row>
    <row r="3333" spans="1:8" x14ac:dyDescent="0.25">
      <c r="A3333" s="1" t="str">
        <f>"94542"</f>
        <v>94542</v>
      </c>
      <c r="B3333" s="1" t="str">
        <f>"36084"</f>
        <v>36084</v>
      </c>
      <c r="C3333" s="1" t="str">
        <f>"HAYWARD"</f>
        <v>HAYWARD</v>
      </c>
      <c r="D3333" s="1" t="str">
        <f t="shared" si="248"/>
        <v>CA</v>
      </c>
      <c r="E3333" s="2">
        <v>1</v>
      </c>
      <c r="F3333" s="2">
        <v>1</v>
      </c>
      <c r="G3333" s="2">
        <v>1</v>
      </c>
      <c r="H3333" s="2">
        <v>1</v>
      </c>
    </row>
    <row r="3334" spans="1:8" x14ac:dyDescent="0.25">
      <c r="A3334" s="1" t="str">
        <f>"94158"</f>
        <v>94158</v>
      </c>
      <c r="B3334" s="1" t="str">
        <f>"41884"</f>
        <v>41884</v>
      </c>
      <c r="C3334" s="1" t="str">
        <f>"SAN FRANCISCO"</f>
        <v>SAN FRANCISCO</v>
      </c>
      <c r="D3334" s="1" t="str">
        <f t="shared" si="248"/>
        <v>CA</v>
      </c>
      <c r="E3334" s="2">
        <v>1</v>
      </c>
      <c r="F3334" s="2">
        <v>1</v>
      </c>
      <c r="G3334" s="2">
        <v>1</v>
      </c>
      <c r="H3334" s="2">
        <v>1</v>
      </c>
    </row>
    <row r="3335" spans="1:8" x14ac:dyDescent="0.25">
      <c r="A3335" s="1" t="str">
        <f>"94549"</f>
        <v>94549</v>
      </c>
      <c r="B3335" s="1" t="str">
        <f>"36084"</f>
        <v>36084</v>
      </c>
      <c r="C3335" s="1" t="str">
        <f>"LAFAYETTE"</f>
        <v>LAFAYETTE</v>
      </c>
      <c r="D3335" s="1" t="str">
        <f t="shared" si="248"/>
        <v>CA</v>
      </c>
      <c r="E3335" s="2">
        <v>1</v>
      </c>
      <c r="F3335" s="2">
        <v>1</v>
      </c>
      <c r="G3335" s="2">
        <v>1</v>
      </c>
      <c r="H3335" s="2">
        <v>1</v>
      </c>
    </row>
    <row r="3336" spans="1:8" x14ac:dyDescent="0.25">
      <c r="A3336" s="1" t="str">
        <f>"94545"</f>
        <v>94545</v>
      </c>
      <c r="B3336" s="1" t="str">
        <f>"36084"</f>
        <v>36084</v>
      </c>
      <c r="C3336" s="1" t="str">
        <f>"HAYWARD"</f>
        <v>HAYWARD</v>
      </c>
      <c r="D3336" s="1" t="str">
        <f t="shared" si="248"/>
        <v>CA</v>
      </c>
      <c r="E3336" s="2">
        <v>1</v>
      </c>
      <c r="F3336" s="2">
        <v>1</v>
      </c>
      <c r="G3336" s="2">
        <v>1</v>
      </c>
      <c r="H3336" s="2">
        <v>1</v>
      </c>
    </row>
    <row r="3337" spans="1:8" x14ac:dyDescent="0.25">
      <c r="A3337" s="1" t="str">
        <f>"98409"</f>
        <v>98409</v>
      </c>
      <c r="B3337" s="1" t="str">
        <f>"45104"</f>
        <v>45104</v>
      </c>
      <c r="C3337" s="1" t="str">
        <f>"TACOMA"</f>
        <v>TACOMA</v>
      </c>
      <c r="D3337" s="1" t="str">
        <f>"WA"</f>
        <v>WA</v>
      </c>
      <c r="E3337" s="2">
        <v>1</v>
      </c>
      <c r="F3337" s="2">
        <v>1</v>
      </c>
      <c r="G3337" s="2">
        <v>1</v>
      </c>
      <c r="H3337" s="2">
        <v>1</v>
      </c>
    </row>
    <row r="3338" spans="1:8" x14ac:dyDescent="0.25">
      <c r="A3338" s="1" t="str">
        <f>"98275"</f>
        <v>98275</v>
      </c>
      <c r="B3338" s="1" t="str">
        <f>"42644"</f>
        <v>42644</v>
      </c>
      <c r="C3338" s="1" t="str">
        <f>"MUKILTEO"</f>
        <v>MUKILTEO</v>
      </c>
      <c r="D3338" s="1" t="str">
        <f>"WA"</f>
        <v>WA</v>
      </c>
      <c r="E3338" s="2">
        <v>1</v>
      </c>
      <c r="F3338" s="2">
        <v>1</v>
      </c>
      <c r="G3338" s="2">
        <v>1</v>
      </c>
      <c r="H3338" s="2">
        <v>1</v>
      </c>
    </row>
    <row r="3339" spans="1:8" x14ac:dyDescent="0.25">
      <c r="A3339" s="1" t="str">
        <f>"08328"</f>
        <v>08328</v>
      </c>
      <c r="B3339" s="1" t="str">
        <f>"15804"</f>
        <v>15804</v>
      </c>
      <c r="C3339" s="1" t="str">
        <f>"MALAGA"</f>
        <v>MALAGA</v>
      </c>
      <c r="D3339" s="1" t="str">
        <f>"NJ"</f>
        <v>NJ</v>
      </c>
      <c r="E3339" s="2">
        <v>1</v>
      </c>
      <c r="F3339" s="2">
        <v>1</v>
      </c>
      <c r="G3339" s="2">
        <v>1</v>
      </c>
      <c r="H3339" s="2">
        <v>1</v>
      </c>
    </row>
    <row r="3340" spans="1:8" x14ac:dyDescent="0.25">
      <c r="A3340" s="1" t="str">
        <f>"10155"</f>
        <v>10155</v>
      </c>
      <c r="B3340" s="1" t="str">
        <f>"35614"</f>
        <v>35614</v>
      </c>
      <c r="C3340" s="1" t="str">
        <f>"NEW YORK"</f>
        <v>NEW YORK</v>
      </c>
      <c r="D3340" s="1" t="str">
        <f>"NY"</f>
        <v>NY</v>
      </c>
      <c r="E3340" s="2">
        <v>0</v>
      </c>
      <c r="F3340" s="2">
        <v>1</v>
      </c>
      <c r="G3340" s="2">
        <v>1</v>
      </c>
      <c r="H3340" s="2">
        <v>1</v>
      </c>
    </row>
    <row r="3341" spans="1:8" x14ac:dyDescent="0.25">
      <c r="A3341" s="1" t="str">
        <f>"11439"</f>
        <v>11439</v>
      </c>
      <c r="B3341" s="1" t="str">
        <f>"35614"</f>
        <v>35614</v>
      </c>
      <c r="C3341" s="1" t="str">
        <f>"JAMAICA"</f>
        <v>JAMAICA</v>
      </c>
      <c r="D3341" s="1" t="str">
        <f>"NY"</f>
        <v>NY</v>
      </c>
      <c r="E3341" s="2">
        <v>1</v>
      </c>
      <c r="F3341" s="2">
        <v>1</v>
      </c>
      <c r="G3341" s="2">
        <v>1</v>
      </c>
      <c r="H3341" s="2">
        <v>1</v>
      </c>
    </row>
    <row r="3342" spans="1:8" x14ac:dyDescent="0.25">
      <c r="A3342" s="1" t="str">
        <f>"11969"</f>
        <v>11969</v>
      </c>
      <c r="B3342" s="1" t="str">
        <f>"35004"</f>
        <v>35004</v>
      </c>
      <c r="C3342" s="1" t="str">
        <f>"SOUTHAMPTON"</f>
        <v>SOUTHAMPTON</v>
      </c>
      <c r="D3342" s="1" t="str">
        <f>"NY"</f>
        <v>NY</v>
      </c>
      <c r="E3342" s="2">
        <v>1</v>
      </c>
      <c r="F3342" s="2">
        <v>1</v>
      </c>
      <c r="G3342" s="2">
        <v>1</v>
      </c>
      <c r="H3342" s="2">
        <v>1</v>
      </c>
    </row>
    <row r="3343" spans="1:8" x14ac:dyDescent="0.25">
      <c r="A3343" s="1" t="str">
        <f>"19358"</f>
        <v>19358</v>
      </c>
      <c r="B3343" s="1" t="str">
        <f>"33874"</f>
        <v>33874</v>
      </c>
      <c r="C3343" s="1" t="str">
        <f>"MODENA"</f>
        <v>MODENA</v>
      </c>
      <c r="D3343" s="1" t="str">
        <f>"PA"</f>
        <v>PA</v>
      </c>
      <c r="E3343" s="2">
        <v>1</v>
      </c>
      <c r="F3343" s="2">
        <v>0</v>
      </c>
      <c r="G3343" s="2">
        <v>1</v>
      </c>
      <c r="H3343" s="2">
        <v>1</v>
      </c>
    </row>
    <row r="3344" spans="1:8" x14ac:dyDescent="0.25">
      <c r="A3344" s="1" t="str">
        <f>"20617"</f>
        <v>20617</v>
      </c>
      <c r="B3344" s="1" t="str">
        <f>"47894"</f>
        <v>47894</v>
      </c>
      <c r="C3344" s="1" t="str">
        <f>"BRYANTOWN"</f>
        <v>BRYANTOWN</v>
      </c>
      <c r="D3344" s="1" t="str">
        <f>"MD"</f>
        <v>MD</v>
      </c>
      <c r="E3344" s="2">
        <v>1</v>
      </c>
      <c r="F3344" s="2">
        <v>1</v>
      </c>
      <c r="G3344" s="2">
        <v>1</v>
      </c>
      <c r="H3344" s="2">
        <v>1</v>
      </c>
    </row>
    <row r="3345" spans="1:8" x14ac:dyDescent="0.25">
      <c r="A3345" s="1" t="str">
        <f>"22722"</f>
        <v>22722</v>
      </c>
      <c r="B3345" s="1" t="str">
        <f>"47894"</f>
        <v>47894</v>
      </c>
      <c r="C3345" s="1" t="str">
        <f>"HAYWOOD"</f>
        <v>HAYWOOD</v>
      </c>
      <c r="D3345" s="1" t="str">
        <f>"VA"</f>
        <v>VA</v>
      </c>
      <c r="E3345" s="2">
        <v>1</v>
      </c>
      <c r="F3345" s="2">
        <v>1</v>
      </c>
      <c r="G3345" s="2">
        <v>1</v>
      </c>
      <c r="H3345" s="2">
        <v>1</v>
      </c>
    </row>
    <row r="3346" spans="1:8" x14ac:dyDescent="0.25">
      <c r="A3346" s="1" t="str">
        <f>"48090"</f>
        <v>48090</v>
      </c>
      <c r="B3346" s="1" t="str">
        <f>"47664"</f>
        <v>47664</v>
      </c>
      <c r="C3346" s="1" t="str">
        <f>"WARREN"</f>
        <v>WARREN</v>
      </c>
      <c r="D3346" s="1" t="str">
        <f>"MI"</f>
        <v>MI</v>
      </c>
      <c r="E3346" s="2">
        <v>1</v>
      </c>
      <c r="F3346" s="2">
        <v>1</v>
      </c>
      <c r="G3346" s="2">
        <v>1</v>
      </c>
      <c r="H3346" s="2">
        <v>1</v>
      </c>
    </row>
    <row r="3347" spans="1:8" x14ac:dyDescent="0.25">
      <c r="A3347" s="1" t="str">
        <f>"48136"</f>
        <v>48136</v>
      </c>
      <c r="B3347" s="1" t="str">
        <f>"19804"</f>
        <v>19804</v>
      </c>
      <c r="C3347" s="1" t="str">
        <f>"GARDEN CITY"</f>
        <v>GARDEN CITY</v>
      </c>
      <c r="D3347" s="1" t="str">
        <f>"MI"</f>
        <v>MI</v>
      </c>
      <c r="E3347" s="2">
        <v>1</v>
      </c>
      <c r="F3347" s="2">
        <v>1</v>
      </c>
      <c r="G3347" s="2">
        <v>1</v>
      </c>
      <c r="H3347" s="2">
        <v>1</v>
      </c>
    </row>
    <row r="3348" spans="1:8" x14ac:dyDescent="0.25">
      <c r="A3348" s="1" t="str">
        <f>"75380"</f>
        <v>75380</v>
      </c>
      <c r="B3348" s="1" t="str">
        <f>"19124"</f>
        <v>19124</v>
      </c>
      <c r="C3348" s="1" t="str">
        <f>"DALLAS"</f>
        <v>DALLAS</v>
      </c>
      <c r="D3348" s="1" t="str">
        <f>"TX"</f>
        <v>TX</v>
      </c>
      <c r="E3348" s="2">
        <v>1</v>
      </c>
      <c r="F3348" s="2">
        <v>1</v>
      </c>
      <c r="G3348" s="2">
        <v>1</v>
      </c>
      <c r="H3348" s="2">
        <v>1</v>
      </c>
    </row>
    <row r="3349" spans="1:8" x14ac:dyDescent="0.25">
      <c r="A3349" s="1" t="str">
        <f>"10121"</f>
        <v>10121</v>
      </c>
      <c r="B3349" s="1" t="str">
        <f>"35614"</f>
        <v>35614</v>
      </c>
      <c r="C3349" s="1" t="str">
        <f>"NEW YORK"</f>
        <v>NEW YORK</v>
      </c>
      <c r="D3349" s="1" t="str">
        <f>"NY"</f>
        <v>NY</v>
      </c>
      <c r="E3349" s="2">
        <v>0</v>
      </c>
      <c r="F3349" s="2">
        <v>1</v>
      </c>
      <c r="G3349" s="2">
        <v>1</v>
      </c>
      <c r="H3349" s="2">
        <v>1</v>
      </c>
    </row>
    <row r="3350" spans="1:8" x14ac:dyDescent="0.25">
      <c r="A3350" s="1" t="str">
        <f>"22714"</f>
        <v>22714</v>
      </c>
      <c r="B3350" s="1" t="str">
        <f>"47894"</f>
        <v>47894</v>
      </c>
      <c r="C3350" s="1" t="str">
        <f>"BRANDY STATION"</f>
        <v>BRANDY STATION</v>
      </c>
      <c r="D3350" s="1" t="str">
        <f>"VA"</f>
        <v>VA</v>
      </c>
      <c r="E3350" s="2">
        <v>1</v>
      </c>
      <c r="F3350" s="2">
        <v>1</v>
      </c>
      <c r="G3350" s="2">
        <v>1</v>
      </c>
      <c r="H3350" s="2">
        <v>1</v>
      </c>
    </row>
    <row r="3351" spans="1:8" x14ac:dyDescent="0.25">
      <c r="A3351" s="1" t="str">
        <f>"75356"</f>
        <v>75356</v>
      </c>
      <c r="B3351" s="1" t="str">
        <f>"19124"</f>
        <v>19124</v>
      </c>
      <c r="C3351" s="1" t="str">
        <f>"DALLAS"</f>
        <v>DALLAS</v>
      </c>
      <c r="D3351" s="1" t="str">
        <f>"TX"</f>
        <v>TX</v>
      </c>
      <c r="E3351" s="2">
        <v>1</v>
      </c>
      <c r="F3351" s="2">
        <v>1</v>
      </c>
      <c r="G3351" s="2">
        <v>1</v>
      </c>
      <c r="H3351" s="2">
        <v>1</v>
      </c>
    </row>
    <row r="3352" spans="1:8" x14ac:dyDescent="0.25">
      <c r="A3352" s="1" t="str">
        <f>"10982"</f>
        <v>10982</v>
      </c>
      <c r="B3352" s="1" t="str">
        <f>"35614"</f>
        <v>35614</v>
      </c>
      <c r="C3352" s="1" t="str">
        <f>"TALLMAN"</f>
        <v>TALLMAN</v>
      </c>
      <c r="D3352" s="1" t="str">
        <f>"NY"</f>
        <v>NY</v>
      </c>
      <c r="E3352" s="2">
        <v>1</v>
      </c>
      <c r="F3352" s="2">
        <v>1</v>
      </c>
      <c r="G3352" s="2">
        <v>1</v>
      </c>
      <c r="H3352" s="2">
        <v>1</v>
      </c>
    </row>
    <row r="3353" spans="1:8" x14ac:dyDescent="0.25">
      <c r="A3353" s="1" t="str">
        <f>"18425"</f>
        <v>18425</v>
      </c>
      <c r="B3353" s="1" t="str">
        <f>"35084"</f>
        <v>35084</v>
      </c>
      <c r="C3353" s="1" t="str">
        <f>"GREELEY"</f>
        <v>GREELEY</v>
      </c>
      <c r="D3353" s="1" t="str">
        <f>"PA"</f>
        <v>PA</v>
      </c>
      <c r="E3353" s="2">
        <v>1</v>
      </c>
      <c r="F3353" s="2">
        <v>1</v>
      </c>
      <c r="G3353" s="2">
        <v>1</v>
      </c>
      <c r="H3353" s="2">
        <v>1</v>
      </c>
    </row>
    <row r="3354" spans="1:8" x14ac:dyDescent="0.25">
      <c r="A3354" s="1" t="str">
        <f>"60434"</f>
        <v>60434</v>
      </c>
      <c r="B3354" s="1" t="str">
        <f>"16984"</f>
        <v>16984</v>
      </c>
      <c r="C3354" s="1" t="str">
        <f>"JOLIET"</f>
        <v>JOLIET</v>
      </c>
      <c r="D3354" s="1" t="str">
        <f>"IL"</f>
        <v>IL</v>
      </c>
      <c r="E3354" s="2">
        <v>1</v>
      </c>
      <c r="F3354" s="2">
        <v>1</v>
      </c>
      <c r="G3354" s="2">
        <v>1</v>
      </c>
      <c r="H3354" s="2">
        <v>1</v>
      </c>
    </row>
    <row r="3355" spans="1:8" x14ac:dyDescent="0.25">
      <c r="A3355" s="1" t="str">
        <f>"91507"</f>
        <v>91507</v>
      </c>
      <c r="B3355" s="1" t="str">
        <f>"31084"</f>
        <v>31084</v>
      </c>
      <c r="C3355" s="1" t="str">
        <f>"BURBANK"</f>
        <v>BURBANK</v>
      </c>
      <c r="D3355" s="1" t="str">
        <f>"CA"</f>
        <v>CA</v>
      </c>
      <c r="E3355" s="2">
        <v>1</v>
      </c>
      <c r="F3355" s="2">
        <v>1</v>
      </c>
      <c r="G3355" s="2">
        <v>1</v>
      </c>
      <c r="H3355" s="2">
        <v>1</v>
      </c>
    </row>
    <row r="3356" spans="1:8" x14ac:dyDescent="0.25">
      <c r="A3356" s="1" t="str">
        <f>"94938"</f>
        <v>94938</v>
      </c>
      <c r="B3356" s="1" t="str">
        <f>"42034"</f>
        <v>42034</v>
      </c>
      <c r="C3356" s="1" t="str">
        <f>"LAGUNITAS"</f>
        <v>LAGUNITAS</v>
      </c>
      <c r="D3356" s="1" t="str">
        <f>"CA"</f>
        <v>CA</v>
      </c>
      <c r="E3356" s="2">
        <v>1</v>
      </c>
      <c r="F3356" s="2">
        <v>1</v>
      </c>
      <c r="G3356" s="2">
        <v>0</v>
      </c>
      <c r="H3356" s="2">
        <v>1</v>
      </c>
    </row>
    <row r="3357" spans="1:8" x14ac:dyDescent="0.25">
      <c r="A3357" s="1" t="str">
        <f>"07962"</f>
        <v>07962</v>
      </c>
      <c r="B3357" s="1" t="str">
        <f>"35084"</f>
        <v>35084</v>
      </c>
      <c r="C3357" s="1" t="str">
        <f>"MORRISTOWN"</f>
        <v>MORRISTOWN</v>
      </c>
      <c r="D3357" s="1" t="str">
        <f>"NJ"</f>
        <v>NJ</v>
      </c>
      <c r="E3357" s="2">
        <v>1</v>
      </c>
      <c r="F3357" s="2">
        <v>1</v>
      </c>
      <c r="G3357" s="2">
        <v>1</v>
      </c>
      <c r="H3357" s="2">
        <v>1</v>
      </c>
    </row>
    <row r="3358" spans="1:8" x14ac:dyDescent="0.25">
      <c r="A3358" s="1" t="str">
        <f>"19484"</f>
        <v>19484</v>
      </c>
      <c r="B3358" s="1" t="str">
        <f>"33874"</f>
        <v>33874</v>
      </c>
      <c r="C3358" s="1" t="str">
        <f>"VALLEY FORGE"</f>
        <v>VALLEY FORGE</v>
      </c>
      <c r="D3358" s="1" t="str">
        <f>"PA"</f>
        <v>PA</v>
      </c>
      <c r="E3358" s="2">
        <v>1</v>
      </c>
      <c r="F3358" s="2">
        <v>1</v>
      </c>
      <c r="G3358" s="2">
        <v>1</v>
      </c>
      <c r="H3358" s="2">
        <v>1</v>
      </c>
    </row>
    <row r="3359" spans="1:8" x14ac:dyDescent="0.25">
      <c r="A3359" s="1" t="str">
        <f>"22555"</f>
        <v>22555</v>
      </c>
      <c r="B3359" s="1" t="str">
        <f>"47894"</f>
        <v>47894</v>
      </c>
      <c r="C3359" s="1" t="str">
        <f>"STAFFORD"</f>
        <v>STAFFORD</v>
      </c>
      <c r="D3359" s="1" t="str">
        <f>"VA"</f>
        <v>VA</v>
      </c>
      <c r="E3359" s="2">
        <v>1</v>
      </c>
      <c r="F3359" s="2">
        <v>1</v>
      </c>
      <c r="G3359" s="2">
        <v>1</v>
      </c>
      <c r="H3359" s="2">
        <v>1</v>
      </c>
    </row>
    <row r="3360" spans="1:8" x14ac:dyDescent="0.25">
      <c r="A3360" s="1" t="str">
        <f>"19058"</f>
        <v>19058</v>
      </c>
      <c r="B3360" s="1" t="str">
        <f>"33874"</f>
        <v>33874</v>
      </c>
      <c r="C3360" s="1" t="str">
        <f>"LEVITTOWN"</f>
        <v>LEVITTOWN</v>
      </c>
      <c r="D3360" s="1" t="str">
        <f>"PA"</f>
        <v>PA</v>
      </c>
      <c r="E3360" s="2">
        <v>1</v>
      </c>
      <c r="F3360" s="2">
        <v>1</v>
      </c>
      <c r="G3360" s="2">
        <v>1</v>
      </c>
      <c r="H3360" s="2">
        <v>1</v>
      </c>
    </row>
    <row r="3361" spans="1:8" x14ac:dyDescent="0.25">
      <c r="A3361" s="1" t="str">
        <f>"33497"</f>
        <v>33497</v>
      </c>
      <c r="B3361" s="1" t="str">
        <f>"48424"</f>
        <v>48424</v>
      </c>
      <c r="C3361" s="1" t="str">
        <f>"BOCA RATON"</f>
        <v>BOCA RATON</v>
      </c>
      <c r="D3361" s="1" t="str">
        <f>"FL"</f>
        <v>FL</v>
      </c>
      <c r="E3361" s="2">
        <v>1</v>
      </c>
      <c r="F3361" s="2">
        <v>1</v>
      </c>
      <c r="G3361" s="2">
        <v>1</v>
      </c>
      <c r="H3361" s="2">
        <v>1</v>
      </c>
    </row>
    <row r="3362" spans="1:8" x14ac:dyDescent="0.25">
      <c r="A3362" s="1" t="str">
        <f>"92693"</f>
        <v>92693</v>
      </c>
      <c r="B3362" s="1" t="str">
        <f>"11244"</f>
        <v>11244</v>
      </c>
      <c r="C3362" s="1" t="str">
        <f>"SAN JUAN CAPISTRANO"</f>
        <v>SAN JUAN CAPISTRANO</v>
      </c>
      <c r="D3362" s="1" t="str">
        <f>"CA"</f>
        <v>CA</v>
      </c>
      <c r="E3362" s="2">
        <v>1</v>
      </c>
      <c r="F3362" s="2">
        <v>1</v>
      </c>
      <c r="G3362" s="2">
        <v>1</v>
      </c>
      <c r="H3362" s="2">
        <v>1</v>
      </c>
    </row>
    <row r="3363" spans="1:8" x14ac:dyDescent="0.25">
      <c r="A3363" s="1" t="str">
        <f>"75047"</f>
        <v>75047</v>
      </c>
      <c r="B3363" s="1" t="str">
        <f>"19124"</f>
        <v>19124</v>
      </c>
      <c r="C3363" s="1" t="str">
        <f>"GARLAND"</f>
        <v>GARLAND</v>
      </c>
      <c r="D3363" s="1" t="str">
        <f>"TX"</f>
        <v>TX</v>
      </c>
      <c r="E3363" s="2">
        <v>1</v>
      </c>
      <c r="F3363" s="2">
        <v>1</v>
      </c>
      <c r="G3363" s="2">
        <v>1</v>
      </c>
      <c r="H3363" s="2">
        <v>1</v>
      </c>
    </row>
    <row r="3364" spans="1:8" x14ac:dyDescent="0.25">
      <c r="A3364" s="1" t="str">
        <f>"19369"</f>
        <v>19369</v>
      </c>
      <c r="B3364" s="1" t="str">
        <f>"33874"</f>
        <v>33874</v>
      </c>
      <c r="C3364" s="1" t="str">
        <f>"SADSBURYVILLE"</f>
        <v>SADSBURYVILLE</v>
      </c>
      <c r="D3364" s="1" t="str">
        <f>"PA"</f>
        <v>PA</v>
      </c>
      <c r="E3364" s="2">
        <v>1</v>
      </c>
      <c r="F3364" s="2">
        <v>1</v>
      </c>
      <c r="G3364" s="2">
        <v>1</v>
      </c>
      <c r="H3364" s="2">
        <v>1</v>
      </c>
    </row>
    <row r="3365" spans="1:8" x14ac:dyDescent="0.25">
      <c r="A3365" s="1" t="str">
        <f>"60687"</f>
        <v>60687</v>
      </c>
      <c r="B3365" s="1" t="str">
        <f>"16984"</f>
        <v>16984</v>
      </c>
      <c r="C3365" s="1" t="str">
        <f>"CHICAGO"</f>
        <v>CHICAGO</v>
      </c>
      <c r="D3365" s="1" t="str">
        <f>"IL"</f>
        <v>IL</v>
      </c>
      <c r="E3365" s="2">
        <v>0</v>
      </c>
      <c r="F3365" s="2">
        <v>0</v>
      </c>
      <c r="G3365" s="2">
        <v>1</v>
      </c>
      <c r="H3365" s="2">
        <v>1</v>
      </c>
    </row>
    <row r="3366" spans="1:8" x14ac:dyDescent="0.25">
      <c r="A3366" s="1" t="str">
        <f>"03802"</f>
        <v>03802</v>
      </c>
      <c r="B3366" s="1" t="str">
        <f>"40484"</f>
        <v>40484</v>
      </c>
      <c r="C3366" s="1" t="str">
        <f>"PORTSMOUTH"</f>
        <v>PORTSMOUTH</v>
      </c>
      <c r="D3366" s="1" t="str">
        <f>"NH"</f>
        <v>NH</v>
      </c>
      <c r="E3366" s="2">
        <v>1</v>
      </c>
      <c r="F3366" s="2">
        <v>1</v>
      </c>
      <c r="G3366" s="2">
        <v>1</v>
      </c>
      <c r="H3366" s="2">
        <v>1</v>
      </c>
    </row>
    <row r="3367" spans="1:8" x14ac:dyDescent="0.25">
      <c r="A3367" s="1" t="str">
        <f>"92697"</f>
        <v>92697</v>
      </c>
      <c r="B3367" s="1" t="str">
        <f>"11244"</f>
        <v>11244</v>
      </c>
      <c r="C3367" s="1" t="str">
        <f>"IRVINE"</f>
        <v>IRVINE</v>
      </c>
      <c r="D3367" s="1" t="str">
        <f>"CA"</f>
        <v>CA</v>
      </c>
      <c r="E3367" s="2">
        <v>0</v>
      </c>
      <c r="F3367" s="2">
        <v>1</v>
      </c>
      <c r="G3367" s="2">
        <v>1</v>
      </c>
      <c r="H3367" s="2">
        <v>1</v>
      </c>
    </row>
    <row r="3368" spans="1:8" x14ac:dyDescent="0.25">
      <c r="A3368" s="1" t="str">
        <f>"98161"</f>
        <v>98161</v>
      </c>
      <c r="B3368" s="1" t="str">
        <f>"42644"</f>
        <v>42644</v>
      </c>
      <c r="C3368" s="1" t="str">
        <f>"SEATTLE"</f>
        <v>SEATTLE</v>
      </c>
      <c r="D3368" s="1" t="str">
        <f>"WA"</f>
        <v>WA</v>
      </c>
      <c r="E3368" s="2">
        <v>0</v>
      </c>
      <c r="F3368" s="2">
        <v>1</v>
      </c>
      <c r="G3368" s="2">
        <v>1</v>
      </c>
      <c r="H3368" s="2">
        <v>1</v>
      </c>
    </row>
    <row r="3369" spans="1:8" x14ac:dyDescent="0.25">
      <c r="A3369" s="1" t="str">
        <f>"01704"</f>
        <v>01704</v>
      </c>
      <c r="B3369" s="1" t="str">
        <f>"15764"</f>
        <v>15764</v>
      </c>
      <c r="C3369" s="1" t="str">
        <f>"FRAMINGHAM"</f>
        <v>FRAMINGHAM</v>
      </c>
      <c r="D3369" s="1" t="str">
        <f>"MA"</f>
        <v>MA</v>
      </c>
      <c r="E3369" s="2">
        <v>1</v>
      </c>
      <c r="F3369" s="2">
        <v>1</v>
      </c>
      <c r="G3369" s="2">
        <v>1</v>
      </c>
      <c r="H3369" s="2">
        <v>1</v>
      </c>
    </row>
    <row r="3370" spans="1:8" x14ac:dyDescent="0.25">
      <c r="A3370" s="1" t="str">
        <f>"47942"</f>
        <v>47942</v>
      </c>
      <c r="B3370" s="1" t="str">
        <f>"23844"</f>
        <v>23844</v>
      </c>
      <c r="C3370" s="1" t="str">
        <f>"EARL PARK"</f>
        <v>EARL PARK</v>
      </c>
      <c r="D3370" s="1" t="str">
        <f>"IN"</f>
        <v>IN</v>
      </c>
      <c r="E3370" s="2">
        <v>1</v>
      </c>
      <c r="F3370" s="2">
        <v>0</v>
      </c>
      <c r="G3370" s="2">
        <v>0</v>
      </c>
      <c r="H3370" s="2">
        <v>1</v>
      </c>
    </row>
    <row r="3371" spans="1:8" x14ac:dyDescent="0.25">
      <c r="A3371" s="1" t="str">
        <f>"20440"</f>
        <v>20440</v>
      </c>
      <c r="B3371" s="1" t="str">
        <f>"47894"</f>
        <v>47894</v>
      </c>
      <c r="C3371" s="1" t="str">
        <f>"WASHINGTON"</f>
        <v>WASHINGTON</v>
      </c>
      <c r="D3371" s="1" t="str">
        <f>"DC"</f>
        <v>DC</v>
      </c>
      <c r="E3371" s="2">
        <v>0</v>
      </c>
      <c r="F3371" s="2">
        <v>1</v>
      </c>
      <c r="G3371" s="2">
        <v>0</v>
      </c>
      <c r="H3371" s="2">
        <v>1</v>
      </c>
    </row>
    <row r="3372" spans="1:8" x14ac:dyDescent="0.25">
      <c r="A3372" s="1" t="str">
        <f>"91521"</f>
        <v>91521</v>
      </c>
      <c r="B3372" s="1" t="str">
        <f>"31084"</f>
        <v>31084</v>
      </c>
      <c r="C3372" s="1" t="str">
        <f>"BURBANK"</f>
        <v>BURBANK</v>
      </c>
      <c r="D3372" s="1" t="str">
        <f>"CA"</f>
        <v>CA</v>
      </c>
      <c r="E3372" s="2">
        <v>0</v>
      </c>
      <c r="F3372" s="2">
        <v>1</v>
      </c>
      <c r="G3372" s="2">
        <v>0</v>
      </c>
      <c r="H3372" s="2">
        <v>1</v>
      </c>
    </row>
    <row r="3373" spans="1:8" x14ac:dyDescent="0.25">
      <c r="A3373" s="1" t="str">
        <f>"20433"</f>
        <v>20433</v>
      </c>
      <c r="B3373" s="1" t="str">
        <f>"47894"</f>
        <v>47894</v>
      </c>
      <c r="C3373" s="1" t="str">
        <f>"WASHINGTON"</f>
        <v>WASHINGTON</v>
      </c>
      <c r="D3373" s="1" t="str">
        <f>"DC"</f>
        <v>DC</v>
      </c>
      <c r="E3373" s="2">
        <v>0</v>
      </c>
      <c r="F3373" s="2">
        <v>1</v>
      </c>
      <c r="G3373" s="2">
        <v>0</v>
      </c>
      <c r="H3373" s="2">
        <v>1</v>
      </c>
    </row>
    <row r="3374" spans="1:8" x14ac:dyDescent="0.25">
      <c r="A3374" s="1" t="str">
        <f>"20535"</f>
        <v>20535</v>
      </c>
      <c r="B3374" s="1" t="str">
        <f>"47894"</f>
        <v>47894</v>
      </c>
      <c r="C3374" s="1" t="str">
        <f>"WASHINGTON"</f>
        <v>WASHINGTON</v>
      </c>
      <c r="D3374" s="1" t="str">
        <f>"DC"</f>
        <v>DC</v>
      </c>
      <c r="E3374" s="2">
        <v>0</v>
      </c>
      <c r="F3374" s="2">
        <v>1</v>
      </c>
      <c r="G3374" s="2">
        <v>0</v>
      </c>
      <c r="H3374" s="2">
        <v>1</v>
      </c>
    </row>
    <row r="3375" spans="1:8" x14ac:dyDescent="0.25">
      <c r="A3375" s="1" t="str">
        <f>"20429"</f>
        <v>20429</v>
      </c>
      <c r="B3375" s="1" t="str">
        <f>"47894"</f>
        <v>47894</v>
      </c>
      <c r="C3375" s="1" t="str">
        <f>"WASHINGTON"</f>
        <v>WASHINGTON</v>
      </c>
      <c r="D3375" s="1" t="str">
        <f>"DC"</f>
        <v>DC</v>
      </c>
      <c r="E3375" s="2">
        <v>0</v>
      </c>
      <c r="F3375" s="2">
        <v>1</v>
      </c>
      <c r="G3375" s="2">
        <v>0</v>
      </c>
      <c r="H3375" s="2">
        <v>1</v>
      </c>
    </row>
    <row r="3376" spans="1:8" x14ac:dyDescent="0.25">
      <c r="A3376" s="1" t="str">
        <f>"91611"</f>
        <v>91611</v>
      </c>
      <c r="B3376" s="1" t="str">
        <f>"31084"</f>
        <v>31084</v>
      </c>
      <c r="C3376" s="1" t="str">
        <f>"NORTH HOLLYWOOD"</f>
        <v>NORTH HOLLYWOOD</v>
      </c>
      <c r="D3376" s="1" t="str">
        <f>"CA"</f>
        <v>CA</v>
      </c>
      <c r="E3376" s="2">
        <v>0</v>
      </c>
      <c r="F3376" s="2">
        <v>1</v>
      </c>
      <c r="G3376" s="2">
        <v>0</v>
      </c>
      <c r="H3376" s="2">
        <v>1</v>
      </c>
    </row>
    <row r="3377" spans="1:8" x14ac:dyDescent="0.25">
      <c r="A3377" s="1" t="str">
        <f>"20069"</f>
        <v>20069</v>
      </c>
      <c r="B3377" s="1" t="str">
        <f>"47894"</f>
        <v>47894</v>
      </c>
      <c r="C3377" s="1" t="str">
        <f>"WASHINGTON"</f>
        <v>WASHINGTON</v>
      </c>
      <c r="D3377" s="1" t="str">
        <f>"DC"</f>
        <v>DC</v>
      </c>
      <c r="E3377" s="2">
        <v>0</v>
      </c>
      <c r="F3377" s="2">
        <v>1</v>
      </c>
      <c r="G3377" s="2">
        <v>0</v>
      </c>
      <c r="H3377" s="2">
        <v>1</v>
      </c>
    </row>
    <row r="3378" spans="1:8" x14ac:dyDescent="0.25">
      <c r="A3378" s="1" t="str">
        <f>"08885"</f>
        <v>08885</v>
      </c>
      <c r="B3378" s="1" t="str">
        <f>"35084"</f>
        <v>35084</v>
      </c>
      <c r="C3378" s="1" t="str">
        <f>"STANTON"</f>
        <v>STANTON</v>
      </c>
      <c r="D3378" s="1" t="str">
        <f>"NJ"</f>
        <v>NJ</v>
      </c>
      <c r="E3378" s="2">
        <v>0</v>
      </c>
      <c r="F3378" s="2">
        <v>0</v>
      </c>
      <c r="G3378" s="2">
        <v>1</v>
      </c>
      <c r="H3378" s="2">
        <v>1</v>
      </c>
    </row>
    <row r="3379" spans="1:8" x14ac:dyDescent="0.25">
      <c r="A3379" s="1" t="str">
        <f>"22333"</f>
        <v>22333</v>
      </c>
      <c r="B3379" s="1" t="str">
        <f>"47894"</f>
        <v>47894</v>
      </c>
      <c r="C3379" s="1" t="str">
        <f>"ALEXANDRIA"</f>
        <v>ALEXANDRIA</v>
      </c>
      <c r="D3379" s="1" t="str">
        <f>"VA"</f>
        <v>VA</v>
      </c>
      <c r="E3379" s="2">
        <v>0</v>
      </c>
      <c r="F3379" s="2">
        <v>1</v>
      </c>
      <c r="G3379" s="2">
        <v>0</v>
      </c>
      <c r="H3379" s="2">
        <v>1</v>
      </c>
    </row>
    <row r="3380" spans="1:8" x14ac:dyDescent="0.25">
      <c r="A3380" s="1" t="str">
        <f>"60199"</f>
        <v>60199</v>
      </c>
      <c r="B3380" s="1" t="str">
        <f>"16984"</f>
        <v>16984</v>
      </c>
      <c r="C3380" s="1" t="str">
        <f>"CAROL STREAM"</f>
        <v>CAROL STREAM</v>
      </c>
      <c r="D3380" s="1" t="str">
        <f>"IL"</f>
        <v>IL</v>
      </c>
      <c r="E3380" s="2">
        <v>0</v>
      </c>
      <c r="F3380" s="2">
        <v>0</v>
      </c>
      <c r="G3380" s="2">
        <v>1</v>
      </c>
      <c r="H3380" s="2">
        <v>1</v>
      </c>
    </row>
    <row r="3381" spans="1:8" x14ac:dyDescent="0.25">
      <c r="A3381" s="1" t="str">
        <f>"19339"</f>
        <v>19339</v>
      </c>
      <c r="B3381" s="1" t="str">
        <f>"37964"</f>
        <v>37964</v>
      </c>
      <c r="C3381" s="1" t="str">
        <f>"CONCORDVILLE"</f>
        <v>CONCORDVILLE</v>
      </c>
      <c r="D3381" s="1" t="str">
        <f>"PA"</f>
        <v>PA</v>
      </c>
      <c r="E3381" s="2">
        <v>0</v>
      </c>
      <c r="F3381" s="2">
        <v>1</v>
      </c>
      <c r="G3381" s="2">
        <v>0</v>
      </c>
      <c r="H3381" s="2">
        <v>1</v>
      </c>
    </row>
    <row r="3382" spans="1:8" x14ac:dyDescent="0.25">
      <c r="A3382" s="1" t="str">
        <f>"20268"</f>
        <v>20268</v>
      </c>
      <c r="B3382" s="1" t="str">
        <f>"47894"</f>
        <v>47894</v>
      </c>
      <c r="C3382" s="1" t="str">
        <f>"WASHINGTON"</f>
        <v>WASHINGTON</v>
      </c>
      <c r="D3382" s="1" t="str">
        <f>"DC"</f>
        <v>DC</v>
      </c>
      <c r="E3382" s="2">
        <v>0</v>
      </c>
      <c r="F3382" s="2">
        <v>1</v>
      </c>
      <c r="G3382" s="2">
        <v>1</v>
      </c>
      <c r="H3382" s="2">
        <v>1</v>
      </c>
    </row>
    <row r="3383" spans="1:8" x14ac:dyDescent="0.25">
      <c r="A3383" s="1" t="str">
        <f>"20412"</f>
        <v>20412</v>
      </c>
      <c r="B3383" s="1" t="str">
        <f>"47894"</f>
        <v>47894</v>
      </c>
      <c r="C3383" s="1" t="str">
        <f>"WASHINGTON"</f>
        <v>WASHINGTON</v>
      </c>
      <c r="D3383" s="1" t="str">
        <f>"DC"</f>
        <v>DC</v>
      </c>
      <c r="E3383" s="2">
        <v>0</v>
      </c>
      <c r="F3383" s="2">
        <v>1</v>
      </c>
      <c r="G3383" s="2">
        <v>0</v>
      </c>
      <c r="H3383" s="2">
        <v>1</v>
      </c>
    </row>
    <row r="3384" spans="1:8" x14ac:dyDescent="0.25">
      <c r="A3384" s="1" t="str">
        <f>"94929"</f>
        <v>94929</v>
      </c>
      <c r="B3384" s="1" t="str">
        <f>"42034"</f>
        <v>42034</v>
      </c>
      <c r="C3384" s="1" t="str">
        <f>"DILLON BEACH"</f>
        <v>DILLON BEACH</v>
      </c>
      <c r="D3384" s="1" t="str">
        <f>"CA"</f>
        <v>CA</v>
      </c>
      <c r="E3384" s="2">
        <v>1</v>
      </c>
      <c r="F3384" s="2">
        <v>1</v>
      </c>
      <c r="G3384" s="2">
        <v>1</v>
      </c>
      <c r="H3384" s="2">
        <v>1</v>
      </c>
    </row>
    <row r="3385" spans="1:8" x14ac:dyDescent="0.25">
      <c r="A3385" s="1" t="str">
        <f>"19366"</f>
        <v>19366</v>
      </c>
      <c r="B3385" s="1" t="str">
        <f>"33874"</f>
        <v>33874</v>
      </c>
      <c r="C3385" s="1" t="str">
        <f>"POCOPSON"</f>
        <v>POCOPSON</v>
      </c>
      <c r="D3385" s="1" t="str">
        <f>"PA"</f>
        <v>PA</v>
      </c>
      <c r="E3385" s="2">
        <v>0</v>
      </c>
      <c r="F3385" s="2">
        <v>0</v>
      </c>
      <c r="G3385" s="2">
        <v>1</v>
      </c>
      <c r="H3385" s="2">
        <v>1</v>
      </c>
    </row>
    <row r="3386" spans="1:8" x14ac:dyDescent="0.25">
      <c r="A3386" s="1" t="str">
        <f>"46380"</f>
        <v>46380</v>
      </c>
      <c r="B3386" s="1" t="str">
        <f>"23844"</f>
        <v>23844</v>
      </c>
      <c r="C3386" s="1" t="str">
        <f>"TEFFT"</f>
        <v>TEFFT</v>
      </c>
      <c r="D3386" s="1" t="str">
        <f>"IN"</f>
        <v>IN</v>
      </c>
      <c r="E3386" s="2">
        <v>0</v>
      </c>
      <c r="F3386" s="2">
        <v>0</v>
      </c>
      <c r="G3386" s="2">
        <v>1</v>
      </c>
      <c r="H3386" s="2">
        <v>1</v>
      </c>
    </row>
    <row r="3387" spans="1:8" x14ac:dyDescent="0.25">
      <c r="A3387" s="1" t="str">
        <f>"94950"</f>
        <v>94950</v>
      </c>
      <c r="B3387" s="1" t="str">
        <f>"42034"</f>
        <v>42034</v>
      </c>
      <c r="C3387" s="1" t="str">
        <f>"OLEMA"</f>
        <v>OLEMA</v>
      </c>
      <c r="D3387" s="1" t="str">
        <f>"CA"</f>
        <v>CA</v>
      </c>
      <c r="E3387" s="2">
        <v>0</v>
      </c>
      <c r="F3387" s="2">
        <v>1</v>
      </c>
      <c r="G3387" s="2">
        <v>0</v>
      </c>
      <c r="H3387" s="2">
        <v>1</v>
      </c>
    </row>
    <row r="3388" spans="1:8" x14ac:dyDescent="0.25">
      <c r="A3388" s="1" t="str">
        <f>"01830"</f>
        <v>01830</v>
      </c>
      <c r="B3388" s="1" t="str">
        <f>"15764"</f>
        <v>15764</v>
      </c>
      <c r="C3388" s="1" t="str">
        <f>"HAVERHILL"</f>
        <v>HAVERHILL</v>
      </c>
      <c r="D3388" s="1" t="str">
        <f t="shared" ref="D3388:D3395" si="249">"MA"</f>
        <v>MA</v>
      </c>
      <c r="E3388" s="2">
        <v>1</v>
      </c>
      <c r="F3388" s="2">
        <v>1</v>
      </c>
      <c r="G3388" s="2">
        <v>1</v>
      </c>
      <c r="H3388" s="2">
        <v>1</v>
      </c>
    </row>
    <row r="3389" spans="1:8" x14ac:dyDescent="0.25">
      <c r="A3389" s="1" t="str">
        <f>"02043"</f>
        <v>02043</v>
      </c>
      <c r="B3389" s="1" t="str">
        <f>"14454"</f>
        <v>14454</v>
      </c>
      <c r="C3389" s="1" t="str">
        <f>"HINGHAM"</f>
        <v>HINGHAM</v>
      </c>
      <c r="D3389" s="1" t="str">
        <f t="shared" si="249"/>
        <v>MA</v>
      </c>
      <c r="E3389" s="2">
        <v>1</v>
      </c>
      <c r="F3389" s="2">
        <v>1</v>
      </c>
      <c r="G3389" s="2">
        <v>1</v>
      </c>
      <c r="H3389" s="2">
        <v>1</v>
      </c>
    </row>
    <row r="3390" spans="1:8" x14ac:dyDescent="0.25">
      <c r="A3390" s="1" t="str">
        <f>"02032"</f>
        <v>02032</v>
      </c>
      <c r="B3390" s="1" t="str">
        <f>"14454"</f>
        <v>14454</v>
      </c>
      <c r="C3390" s="1" t="str">
        <f>"EAST WALPOLE"</f>
        <v>EAST WALPOLE</v>
      </c>
      <c r="D3390" s="1" t="str">
        <f t="shared" si="249"/>
        <v>MA</v>
      </c>
      <c r="E3390" s="2">
        <v>1</v>
      </c>
      <c r="F3390" s="2">
        <v>1</v>
      </c>
      <c r="G3390" s="2">
        <v>1</v>
      </c>
      <c r="H3390" s="2">
        <v>1</v>
      </c>
    </row>
    <row r="3391" spans="1:8" x14ac:dyDescent="0.25">
      <c r="A3391" s="1" t="str">
        <f>"02115"</f>
        <v>02115</v>
      </c>
      <c r="B3391" s="1" t="str">
        <f>"14454"</f>
        <v>14454</v>
      </c>
      <c r="C3391" s="1" t="str">
        <f>"BOSTON"</f>
        <v>BOSTON</v>
      </c>
      <c r="D3391" s="1" t="str">
        <f t="shared" si="249"/>
        <v>MA</v>
      </c>
      <c r="E3391" s="2">
        <v>1</v>
      </c>
      <c r="F3391" s="2">
        <v>1</v>
      </c>
      <c r="G3391" s="2">
        <v>1</v>
      </c>
      <c r="H3391" s="2">
        <v>1</v>
      </c>
    </row>
    <row r="3392" spans="1:8" x14ac:dyDescent="0.25">
      <c r="A3392" s="1" t="str">
        <f>"02131"</f>
        <v>02131</v>
      </c>
      <c r="B3392" s="1" t="str">
        <f>"14454"</f>
        <v>14454</v>
      </c>
      <c r="C3392" s="1" t="str">
        <f>"ROSLINDALE"</f>
        <v>ROSLINDALE</v>
      </c>
      <c r="D3392" s="1" t="str">
        <f t="shared" si="249"/>
        <v>MA</v>
      </c>
      <c r="E3392" s="2">
        <v>1</v>
      </c>
      <c r="F3392" s="2">
        <v>1</v>
      </c>
      <c r="G3392" s="2">
        <v>1</v>
      </c>
      <c r="H3392" s="2">
        <v>1</v>
      </c>
    </row>
    <row r="3393" spans="1:8" x14ac:dyDescent="0.25">
      <c r="A3393" s="1" t="str">
        <f>"02150"</f>
        <v>02150</v>
      </c>
      <c r="B3393" s="1" t="str">
        <f>"15764"</f>
        <v>15764</v>
      </c>
      <c r="C3393" s="1" t="str">
        <f>"CHELSEA"</f>
        <v>CHELSEA</v>
      </c>
      <c r="D3393" s="1" t="str">
        <f t="shared" si="249"/>
        <v>MA</v>
      </c>
      <c r="E3393" s="2">
        <v>0</v>
      </c>
      <c r="F3393" s="2">
        <v>5.3708439897698197E-2</v>
      </c>
      <c r="G3393" s="2">
        <v>0</v>
      </c>
      <c r="H3393" s="2">
        <v>3.1947261663285999E-3</v>
      </c>
    </row>
    <row r="3394" spans="1:8" x14ac:dyDescent="0.25">
      <c r="A3394" s="1" t="str">
        <f>"02150"</f>
        <v>02150</v>
      </c>
      <c r="B3394" s="1" t="str">
        <f>"14454"</f>
        <v>14454</v>
      </c>
      <c r="C3394" s="1" t="str">
        <f>"CHELSEA"</f>
        <v>CHELSEA</v>
      </c>
      <c r="D3394" s="1" t="str">
        <f t="shared" si="249"/>
        <v>MA</v>
      </c>
      <c r="E3394" s="2">
        <v>1</v>
      </c>
      <c r="F3394" s="2">
        <v>0.94629156010230098</v>
      </c>
      <c r="G3394" s="2">
        <v>1</v>
      </c>
      <c r="H3394" s="2">
        <v>0.99680527383367101</v>
      </c>
    </row>
    <row r="3395" spans="1:8" x14ac:dyDescent="0.25">
      <c r="A3395" s="1" t="str">
        <f>"02338"</f>
        <v>02338</v>
      </c>
      <c r="B3395" s="1" t="str">
        <f>"14454"</f>
        <v>14454</v>
      </c>
      <c r="C3395" s="1" t="str">
        <f>"HALIFAX"</f>
        <v>HALIFAX</v>
      </c>
      <c r="D3395" s="1" t="str">
        <f t="shared" si="249"/>
        <v>MA</v>
      </c>
      <c r="E3395" s="2">
        <v>1</v>
      </c>
      <c r="F3395" s="2">
        <v>1</v>
      </c>
      <c r="G3395" s="2">
        <v>1</v>
      </c>
      <c r="H3395" s="2">
        <v>1</v>
      </c>
    </row>
    <row r="3396" spans="1:8" x14ac:dyDescent="0.25">
      <c r="A3396" s="1" t="str">
        <f>"03038"</f>
        <v>03038</v>
      </c>
      <c r="B3396" s="1" t="str">
        <f>"40484"</f>
        <v>40484</v>
      </c>
      <c r="C3396" s="1" t="str">
        <f>"DERRY"</f>
        <v>DERRY</v>
      </c>
      <c r="D3396" s="1" t="str">
        <f>"NH"</f>
        <v>NH</v>
      </c>
      <c r="E3396" s="2">
        <v>1</v>
      </c>
      <c r="F3396" s="2">
        <v>1</v>
      </c>
      <c r="G3396" s="2">
        <v>1</v>
      </c>
      <c r="H3396" s="2">
        <v>1</v>
      </c>
    </row>
    <row r="3397" spans="1:8" x14ac:dyDescent="0.25">
      <c r="A3397" s="1" t="str">
        <f>"03053"</f>
        <v>03053</v>
      </c>
      <c r="B3397" s="1" t="str">
        <f>"40484"</f>
        <v>40484</v>
      </c>
      <c r="C3397" s="1" t="str">
        <f>"LONDONDERRY"</f>
        <v>LONDONDERRY</v>
      </c>
      <c r="D3397" s="1" t="str">
        <f>"NH"</f>
        <v>NH</v>
      </c>
      <c r="E3397" s="2">
        <v>1</v>
      </c>
      <c r="F3397" s="2">
        <v>1</v>
      </c>
      <c r="G3397" s="2">
        <v>1</v>
      </c>
      <c r="H3397" s="2">
        <v>1</v>
      </c>
    </row>
    <row r="3398" spans="1:8" x14ac:dyDescent="0.25">
      <c r="A3398" s="1" t="str">
        <f>"03878"</f>
        <v>03878</v>
      </c>
      <c r="B3398" s="1" t="str">
        <f>"40484"</f>
        <v>40484</v>
      </c>
      <c r="C3398" s="1" t="str">
        <f>"SOMERSWORTH"</f>
        <v>SOMERSWORTH</v>
      </c>
      <c r="D3398" s="1" t="str">
        <f>"NH"</f>
        <v>NH</v>
      </c>
      <c r="E3398" s="2">
        <v>1</v>
      </c>
      <c r="F3398" s="2">
        <v>1</v>
      </c>
      <c r="G3398" s="2">
        <v>1</v>
      </c>
      <c r="H3398" s="2">
        <v>1</v>
      </c>
    </row>
    <row r="3399" spans="1:8" x14ac:dyDescent="0.25">
      <c r="A3399" s="1" t="str">
        <f>"07016"</f>
        <v>07016</v>
      </c>
      <c r="B3399" s="1" t="str">
        <f>"35084"</f>
        <v>35084</v>
      </c>
      <c r="C3399" s="1" t="str">
        <f>"CRANFORD"</f>
        <v>CRANFORD</v>
      </c>
      <c r="D3399" s="1" t="str">
        <f t="shared" ref="D3399:D3416" si="250">"NJ"</f>
        <v>NJ</v>
      </c>
      <c r="E3399" s="2">
        <v>1</v>
      </c>
      <c r="F3399" s="2">
        <v>1</v>
      </c>
      <c r="G3399" s="2">
        <v>1</v>
      </c>
      <c r="H3399" s="2">
        <v>1</v>
      </c>
    </row>
    <row r="3400" spans="1:8" x14ac:dyDescent="0.25">
      <c r="A3400" s="1" t="str">
        <f>"07042"</f>
        <v>07042</v>
      </c>
      <c r="B3400" s="1" t="str">
        <f>"35084"</f>
        <v>35084</v>
      </c>
      <c r="C3400" s="1" t="str">
        <f>"MONTCLAIR"</f>
        <v>MONTCLAIR</v>
      </c>
      <c r="D3400" s="1" t="str">
        <f t="shared" si="250"/>
        <v>NJ</v>
      </c>
      <c r="E3400" s="2">
        <v>1</v>
      </c>
      <c r="F3400" s="2">
        <v>1</v>
      </c>
      <c r="G3400" s="2">
        <v>1</v>
      </c>
      <c r="H3400" s="2">
        <v>1</v>
      </c>
    </row>
    <row r="3401" spans="1:8" x14ac:dyDescent="0.25">
      <c r="A3401" s="1" t="str">
        <f>"07045"</f>
        <v>07045</v>
      </c>
      <c r="B3401" s="1" t="str">
        <f>"35084"</f>
        <v>35084</v>
      </c>
      <c r="C3401" s="1" t="str">
        <f>"MONTVILLE"</f>
        <v>MONTVILLE</v>
      </c>
      <c r="D3401" s="1" t="str">
        <f t="shared" si="250"/>
        <v>NJ</v>
      </c>
      <c r="E3401" s="2">
        <v>1</v>
      </c>
      <c r="F3401" s="2">
        <v>1</v>
      </c>
      <c r="G3401" s="2">
        <v>1</v>
      </c>
      <c r="H3401" s="2">
        <v>1</v>
      </c>
    </row>
    <row r="3402" spans="1:8" x14ac:dyDescent="0.25">
      <c r="A3402" s="1" t="str">
        <f>"07054"</f>
        <v>07054</v>
      </c>
      <c r="B3402" s="1" t="str">
        <f>"35084"</f>
        <v>35084</v>
      </c>
      <c r="C3402" s="1" t="str">
        <f>"PARSIPPANY"</f>
        <v>PARSIPPANY</v>
      </c>
      <c r="D3402" s="1" t="str">
        <f t="shared" si="250"/>
        <v>NJ</v>
      </c>
      <c r="E3402" s="2">
        <v>1</v>
      </c>
      <c r="F3402" s="2">
        <v>1</v>
      </c>
      <c r="G3402" s="2">
        <v>1</v>
      </c>
      <c r="H3402" s="2">
        <v>1</v>
      </c>
    </row>
    <row r="3403" spans="1:8" x14ac:dyDescent="0.25">
      <c r="A3403" s="1" t="str">
        <f>"07070"</f>
        <v>07070</v>
      </c>
      <c r="B3403" s="1" t="str">
        <f>"35614"</f>
        <v>35614</v>
      </c>
      <c r="C3403" s="1" t="str">
        <f>"RUTHERFORD"</f>
        <v>RUTHERFORD</v>
      </c>
      <c r="D3403" s="1" t="str">
        <f t="shared" si="250"/>
        <v>NJ</v>
      </c>
      <c r="E3403" s="2">
        <v>1</v>
      </c>
      <c r="F3403" s="2">
        <v>1</v>
      </c>
      <c r="G3403" s="2">
        <v>1</v>
      </c>
      <c r="H3403" s="2">
        <v>1</v>
      </c>
    </row>
    <row r="3404" spans="1:8" x14ac:dyDescent="0.25">
      <c r="A3404" s="1" t="str">
        <f>"07063"</f>
        <v>07063</v>
      </c>
      <c r="B3404" s="1" t="str">
        <f>"35154"</f>
        <v>35154</v>
      </c>
      <c r="C3404" s="1" t="str">
        <f>"PLAINFIELD"</f>
        <v>PLAINFIELD</v>
      </c>
      <c r="D3404" s="1" t="str">
        <f t="shared" si="250"/>
        <v>NJ</v>
      </c>
      <c r="E3404" s="2">
        <v>0.27480916030534303</v>
      </c>
      <c r="F3404" s="2">
        <v>0.05</v>
      </c>
      <c r="G3404" s="2">
        <v>1.7167381974248899E-2</v>
      </c>
      <c r="H3404" s="2">
        <v>0.25566556655665501</v>
      </c>
    </row>
    <row r="3405" spans="1:8" x14ac:dyDescent="0.25">
      <c r="A3405" s="1" t="str">
        <f>"07063"</f>
        <v>07063</v>
      </c>
      <c r="B3405" s="1" t="str">
        <f>"35084"</f>
        <v>35084</v>
      </c>
      <c r="C3405" s="1" t="str">
        <f>"PLAINFIELD"</f>
        <v>PLAINFIELD</v>
      </c>
      <c r="D3405" s="1" t="str">
        <f t="shared" si="250"/>
        <v>NJ</v>
      </c>
      <c r="E3405" s="2">
        <v>0.72519083969465603</v>
      </c>
      <c r="F3405" s="2">
        <v>0.95</v>
      </c>
      <c r="G3405" s="2">
        <v>0.98283261802575095</v>
      </c>
      <c r="H3405" s="2">
        <v>0.74433443344334405</v>
      </c>
    </row>
    <row r="3406" spans="1:8" x14ac:dyDescent="0.25">
      <c r="A3406" s="1" t="str">
        <f>"07717"</f>
        <v>07717</v>
      </c>
      <c r="B3406" s="1" t="str">
        <f>"35154"</f>
        <v>35154</v>
      </c>
      <c r="C3406" s="1" t="str">
        <f>"AVON BY THE SEA"</f>
        <v>AVON BY THE SEA</v>
      </c>
      <c r="D3406" s="1" t="str">
        <f t="shared" si="250"/>
        <v>NJ</v>
      </c>
      <c r="E3406" s="2">
        <v>1</v>
      </c>
      <c r="F3406" s="2">
        <v>1</v>
      </c>
      <c r="G3406" s="2">
        <v>1</v>
      </c>
      <c r="H3406" s="2">
        <v>1</v>
      </c>
    </row>
    <row r="3407" spans="1:8" x14ac:dyDescent="0.25">
      <c r="A3407" s="1" t="str">
        <f>"08006"</f>
        <v>08006</v>
      </c>
      <c r="B3407" s="1" t="str">
        <f>"35154"</f>
        <v>35154</v>
      </c>
      <c r="C3407" s="1" t="str">
        <f>"BARNEGAT LIGHT"</f>
        <v>BARNEGAT LIGHT</v>
      </c>
      <c r="D3407" s="1" t="str">
        <f t="shared" si="250"/>
        <v>NJ</v>
      </c>
      <c r="E3407" s="2">
        <v>1</v>
      </c>
      <c r="F3407" s="2">
        <v>1</v>
      </c>
      <c r="G3407" s="2">
        <v>1</v>
      </c>
      <c r="H3407" s="2">
        <v>1</v>
      </c>
    </row>
    <row r="3408" spans="1:8" x14ac:dyDescent="0.25">
      <c r="A3408" s="1" t="str">
        <f>"08071"</f>
        <v>08071</v>
      </c>
      <c r="B3408" s="1" t="str">
        <f>"15804"</f>
        <v>15804</v>
      </c>
      <c r="C3408" s="1" t="str">
        <f>"PITMAN"</f>
        <v>PITMAN</v>
      </c>
      <c r="D3408" s="1" t="str">
        <f t="shared" si="250"/>
        <v>NJ</v>
      </c>
      <c r="E3408" s="2">
        <v>1</v>
      </c>
      <c r="F3408" s="2">
        <v>1</v>
      </c>
      <c r="G3408" s="2">
        <v>1</v>
      </c>
      <c r="H3408" s="2">
        <v>1</v>
      </c>
    </row>
    <row r="3409" spans="1:8" x14ac:dyDescent="0.25">
      <c r="A3409" s="1" t="str">
        <f>"08083"</f>
        <v>08083</v>
      </c>
      <c r="B3409" s="1" t="str">
        <f>"15804"</f>
        <v>15804</v>
      </c>
      <c r="C3409" s="1" t="str">
        <f>"SOMERDALE"</f>
        <v>SOMERDALE</v>
      </c>
      <c r="D3409" s="1" t="str">
        <f t="shared" si="250"/>
        <v>NJ</v>
      </c>
      <c r="E3409" s="2">
        <v>1</v>
      </c>
      <c r="F3409" s="2">
        <v>1</v>
      </c>
      <c r="G3409" s="2">
        <v>1</v>
      </c>
      <c r="H3409" s="2">
        <v>1</v>
      </c>
    </row>
    <row r="3410" spans="1:8" x14ac:dyDescent="0.25">
      <c r="A3410" s="1" t="str">
        <f>"08322"</f>
        <v>08322</v>
      </c>
      <c r="B3410" s="1" t="str">
        <f>"15804"</f>
        <v>15804</v>
      </c>
      <c r="C3410" s="1" t="str">
        <f>"FRANKLINVILLE"</f>
        <v>FRANKLINVILLE</v>
      </c>
      <c r="D3410" s="1" t="str">
        <f t="shared" si="250"/>
        <v>NJ</v>
      </c>
      <c r="E3410" s="2">
        <v>1</v>
      </c>
      <c r="F3410" s="2">
        <v>1</v>
      </c>
      <c r="G3410" s="2">
        <v>1</v>
      </c>
      <c r="H3410" s="2">
        <v>1</v>
      </c>
    </row>
    <row r="3411" spans="1:8" x14ac:dyDescent="0.25">
      <c r="A3411" s="1" t="str">
        <f>"08757"</f>
        <v>08757</v>
      </c>
      <c r="B3411" s="1" t="str">
        <f>"35154"</f>
        <v>35154</v>
      </c>
      <c r="C3411" s="1" t="str">
        <f>"TOMS RIVER"</f>
        <v>TOMS RIVER</v>
      </c>
      <c r="D3411" s="1" t="str">
        <f t="shared" si="250"/>
        <v>NJ</v>
      </c>
      <c r="E3411" s="2">
        <v>1</v>
      </c>
      <c r="F3411" s="2">
        <v>1</v>
      </c>
      <c r="G3411" s="2">
        <v>1</v>
      </c>
      <c r="H3411" s="2">
        <v>1</v>
      </c>
    </row>
    <row r="3412" spans="1:8" x14ac:dyDescent="0.25">
      <c r="A3412" s="1" t="str">
        <f>"08758"</f>
        <v>08758</v>
      </c>
      <c r="B3412" s="1" t="str">
        <f>"35154"</f>
        <v>35154</v>
      </c>
      <c r="C3412" s="1" t="str">
        <f>"WARETOWN"</f>
        <v>WARETOWN</v>
      </c>
      <c r="D3412" s="1" t="str">
        <f t="shared" si="250"/>
        <v>NJ</v>
      </c>
      <c r="E3412" s="2">
        <v>1</v>
      </c>
      <c r="F3412" s="2">
        <v>1</v>
      </c>
      <c r="G3412" s="2">
        <v>1</v>
      </c>
      <c r="H3412" s="2">
        <v>1</v>
      </c>
    </row>
    <row r="3413" spans="1:8" x14ac:dyDescent="0.25">
      <c r="A3413" s="1" t="str">
        <f>"08805"</f>
        <v>08805</v>
      </c>
      <c r="B3413" s="1" t="str">
        <f>"35154"</f>
        <v>35154</v>
      </c>
      <c r="C3413" s="1" t="str">
        <f>"BOUND BROOK"</f>
        <v>BOUND BROOK</v>
      </c>
      <c r="D3413" s="1" t="str">
        <f t="shared" si="250"/>
        <v>NJ</v>
      </c>
      <c r="E3413" s="2">
        <v>1</v>
      </c>
      <c r="F3413" s="2">
        <v>1</v>
      </c>
      <c r="G3413" s="2">
        <v>1</v>
      </c>
      <c r="H3413" s="2">
        <v>1</v>
      </c>
    </row>
    <row r="3414" spans="1:8" x14ac:dyDescent="0.25">
      <c r="A3414" s="1" t="str">
        <f>"08818"</f>
        <v>08818</v>
      </c>
      <c r="B3414" s="1" t="str">
        <f>"35154"</f>
        <v>35154</v>
      </c>
      <c r="C3414" s="1" t="str">
        <f>"EDISON"</f>
        <v>EDISON</v>
      </c>
      <c r="D3414" s="1" t="str">
        <f t="shared" si="250"/>
        <v>NJ</v>
      </c>
      <c r="E3414" s="2">
        <v>1</v>
      </c>
      <c r="F3414" s="2">
        <v>1</v>
      </c>
      <c r="G3414" s="2">
        <v>1</v>
      </c>
      <c r="H3414" s="2">
        <v>1</v>
      </c>
    </row>
    <row r="3415" spans="1:8" x14ac:dyDescent="0.25">
      <c r="A3415" s="1" t="str">
        <f>"08833"</f>
        <v>08833</v>
      </c>
      <c r="B3415" s="1" t="str">
        <f>"35084"</f>
        <v>35084</v>
      </c>
      <c r="C3415" s="1" t="str">
        <f>"LEBANON"</f>
        <v>LEBANON</v>
      </c>
      <c r="D3415" s="1" t="str">
        <f t="shared" si="250"/>
        <v>NJ</v>
      </c>
      <c r="E3415" s="2">
        <v>1</v>
      </c>
      <c r="F3415" s="2">
        <v>1</v>
      </c>
      <c r="G3415" s="2">
        <v>1</v>
      </c>
      <c r="H3415" s="2">
        <v>1</v>
      </c>
    </row>
    <row r="3416" spans="1:8" x14ac:dyDescent="0.25">
      <c r="A3416" s="1" t="str">
        <f>"08824"</f>
        <v>08824</v>
      </c>
      <c r="B3416" s="1" t="str">
        <f>"35154"</f>
        <v>35154</v>
      </c>
      <c r="C3416" s="1" t="str">
        <f>"KENDALL PARK"</f>
        <v>KENDALL PARK</v>
      </c>
      <c r="D3416" s="1" t="str">
        <f t="shared" si="250"/>
        <v>NJ</v>
      </c>
      <c r="E3416" s="2">
        <v>1</v>
      </c>
      <c r="F3416" s="2">
        <v>1</v>
      </c>
      <c r="G3416" s="2">
        <v>1</v>
      </c>
      <c r="H3416" s="2">
        <v>1</v>
      </c>
    </row>
    <row r="3417" spans="1:8" x14ac:dyDescent="0.25">
      <c r="A3417" s="1" t="str">
        <f>"10024"</f>
        <v>10024</v>
      </c>
      <c r="B3417" s="1" t="str">
        <f t="shared" ref="B3417:B3422" si="251">"35614"</f>
        <v>35614</v>
      </c>
      <c r="C3417" s="1" t="str">
        <f>"NEW YORK"</f>
        <v>NEW YORK</v>
      </c>
      <c r="D3417" s="1" t="str">
        <f t="shared" ref="D3417:D3430" si="252">"NY"</f>
        <v>NY</v>
      </c>
      <c r="E3417" s="2">
        <v>1</v>
      </c>
      <c r="F3417" s="2">
        <v>1</v>
      </c>
      <c r="G3417" s="2">
        <v>1</v>
      </c>
      <c r="H3417" s="2">
        <v>1</v>
      </c>
    </row>
    <row r="3418" spans="1:8" x14ac:dyDescent="0.25">
      <c r="A3418" s="1" t="str">
        <f>"10034"</f>
        <v>10034</v>
      </c>
      <c r="B3418" s="1" t="str">
        <f t="shared" si="251"/>
        <v>35614</v>
      </c>
      <c r="C3418" s="1" t="str">
        <f>"NEW YORK"</f>
        <v>NEW YORK</v>
      </c>
      <c r="D3418" s="1" t="str">
        <f t="shared" si="252"/>
        <v>NY</v>
      </c>
      <c r="E3418" s="2">
        <v>1</v>
      </c>
      <c r="F3418" s="2">
        <v>1</v>
      </c>
      <c r="G3418" s="2">
        <v>1</v>
      </c>
      <c r="H3418" s="2">
        <v>1</v>
      </c>
    </row>
    <row r="3419" spans="1:8" x14ac:dyDescent="0.25">
      <c r="A3419" s="1" t="str">
        <f>"10168"</f>
        <v>10168</v>
      </c>
      <c r="B3419" s="1" t="str">
        <f t="shared" si="251"/>
        <v>35614</v>
      </c>
      <c r="C3419" s="1" t="str">
        <f>"NEW YORK"</f>
        <v>NEW YORK</v>
      </c>
      <c r="D3419" s="1" t="str">
        <f t="shared" si="252"/>
        <v>NY</v>
      </c>
      <c r="E3419" s="2">
        <v>0</v>
      </c>
      <c r="F3419" s="2">
        <v>1</v>
      </c>
      <c r="G3419" s="2">
        <v>1</v>
      </c>
      <c r="H3419" s="2">
        <v>1</v>
      </c>
    </row>
    <row r="3420" spans="1:8" x14ac:dyDescent="0.25">
      <c r="A3420" s="1" t="str">
        <f>"10463"</f>
        <v>10463</v>
      </c>
      <c r="B3420" s="1" t="str">
        <f t="shared" si="251"/>
        <v>35614</v>
      </c>
      <c r="C3420" s="1" t="str">
        <f>"BRONX"</f>
        <v>BRONX</v>
      </c>
      <c r="D3420" s="1" t="str">
        <f t="shared" si="252"/>
        <v>NY</v>
      </c>
      <c r="E3420" s="2">
        <v>1</v>
      </c>
      <c r="F3420" s="2">
        <v>1</v>
      </c>
      <c r="G3420" s="2">
        <v>1</v>
      </c>
      <c r="H3420" s="2">
        <v>1</v>
      </c>
    </row>
    <row r="3421" spans="1:8" x14ac:dyDescent="0.25">
      <c r="A3421" s="1" t="str">
        <f>"11217"</f>
        <v>11217</v>
      </c>
      <c r="B3421" s="1" t="str">
        <f t="shared" si="251"/>
        <v>35614</v>
      </c>
      <c r="C3421" s="1" t="str">
        <f>"BROOKLYN"</f>
        <v>BROOKLYN</v>
      </c>
      <c r="D3421" s="1" t="str">
        <f t="shared" si="252"/>
        <v>NY</v>
      </c>
      <c r="E3421" s="2">
        <v>1</v>
      </c>
      <c r="F3421" s="2">
        <v>1</v>
      </c>
      <c r="G3421" s="2">
        <v>1</v>
      </c>
      <c r="H3421" s="2">
        <v>1</v>
      </c>
    </row>
    <row r="3422" spans="1:8" x14ac:dyDescent="0.25">
      <c r="A3422" s="1" t="str">
        <f>"11366"</f>
        <v>11366</v>
      </c>
      <c r="B3422" s="1" t="str">
        <f t="shared" si="251"/>
        <v>35614</v>
      </c>
      <c r="C3422" s="1" t="str">
        <f>"FRESH MEADOWS"</f>
        <v>FRESH MEADOWS</v>
      </c>
      <c r="D3422" s="1" t="str">
        <f t="shared" si="252"/>
        <v>NY</v>
      </c>
      <c r="E3422" s="2">
        <v>1</v>
      </c>
      <c r="F3422" s="2">
        <v>1</v>
      </c>
      <c r="G3422" s="2">
        <v>1</v>
      </c>
      <c r="H3422" s="2">
        <v>1</v>
      </c>
    </row>
    <row r="3423" spans="1:8" x14ac:dyDescent="0.25">
      <c r="A3423" s="1" t="str">
        <f>"11518"</f>
        <v>11518</v>
      </c>
      <c r="B3423" s="1" t="str">
        <f>"35004"</f>
        <v>35004</v>
      </c>
      <c r="C3423" s="1" t="str">
        <f>"EAST ROCKAWAY"</f>
        <v>EAST ROCKAWAY</v>
      </c>
      <c r="D3423" s="1" t="str">
        <f t="shared" si="252"/>
        <v>NY</v>
      </c>
      <c r="E3423" s="2">
        <v>1</v>
      </c>
      <c r="F3423" s="2">
        <v>1</v>
      </c>
      <c r="G3423" s="2">
        <v>1</v>
      </c>
      <c r="H3423" s="2">
        <v>1</v>
      </c>
    </row>
    <row r="3424" spans="1:8" x14ac:dyDescent="0.25">
      <c r="A3424" s="1" t="str">
        <f>"11580"</f>
        <v>11580</v>
      </c>
      <c r="B3424" s="1" t="str">
        <f>"35614"</f>
        <v>35614</v>
      </c>
      <c r="C3424" s="1" t="str">
        <f>"VALLEY STREAM"</f>
        <v>VALLEY STREAM</v>
      </c>
      <c r="D3424" s="1" t="str">
        <f t="shared" si="252"/>
        <v>NY</v>
      </c>
      <c r="E3424" s="2">
        <v>1.21644635471575E-3</v>
      </c>
      <c r="F3424" s="2">
        <v>0</v>
      </c>
      <c r="G3424" s="2">
        <v>0</v>
      </c>
      <c r="H3424" s="2">
        <v>1.0026737967914401E-3</v>
      </c>
    </row>
    <row r="3425" spans="1:8" x14ac:dyDescent="0.25">
      <c r="A3425" s="1" t="str">
        <f>"11580"</f>
        <v>11580</v>
      </c>
      <c r="B3425" s="1" t="str">
        <f>"35004"</f>
        <v>35004</v>
      </c>
      <c r="C3425" s="1" t="str">
        <f>"VALLEY STREAM"</f>
        <v>VALLEY STREAM</v>
      </c>
      <c r="D3425" s="1" t="str">
        <f t="shared" si="252"/>
        <v>NY</v>
      </c>
      <c r="E3425" s="2">
        <v>0.99878355364528404</v>
      </c>
      <c r="F3425" s="2">
        <v>1</v>
      </c>
      <c r="G3425" s="2">
        <v>1</v>
      </c>
      <c r="H3425" s="2">
        <v>0.99899732620320802</v>
      </c>
    </row>
    <row r="3426" spans="1:8" x14ac:dyDescent="0.25">
      <c r="A3426" s="1" t="str">
        <f>"11715"</f>
        <v>11715</v>
      </c>
      <c r="B3426" s="1" t="str">
        <f>"35004"</f>
        <v>35004</v>
      </c>
      <c r="C3426" s="1" t="str">
        <f>"BLUE POINT"</f>
        <v>BLUE POINT</v>
      </c>
      <c r="D3426" s="1" t="str">
        <f t="shared" si="252"/>
        <v>NY</v>
      </c>
      <c r="E3426" s="2">
        <v>1</v>
      </c>
      <c r="F3426" s="2">
        <v>1</v>
      </c>
      <c r="G3426" s="2">
        <v>1</v>
      </c>
      <c r="H3426" s="2">
        <v>1</v>
      </c>
    </row>
    <row r="3427" spans="1:8" x14ac:dyDescent="0.25">
      <c r="A3427" s="1" t="str">
        <f>"11791"</f>
        <v>11791</v>
      </c>
      <c r="B3427" s="1" t="str">
        <f>"35004"</f>
        <v>35004</v>
      </c>
      <c r="C3427" s="1" t="str">
        <f>"SYOSSET"</f>
        <v>SYOSSET</v>
      </c>
      <c r="D3427" s="1" t="str">
        <f t="shared" si="252"/>
        <v>NY</v>
      </c>
      <c r="E3427" s="2">
        <v>1</v>
      </c>
      <c r="F3427" s="2">
        <v>1</v>
      </c>
      <c r="G3427" s="2">
        <v>1</v>
      </c>
      <c r="H3427" s="2">
        <v>1</v>
      </c>
    </row>
    <row r="3428" spans="1:8" x14ac:dyDescent="0.25">
      <c r="A3428" s="1" t="str">
        <f>"10541"</f>
        <v>10541</v>
      </c>
      <c r="B3428" s="1" t="str">
        <f>"35614"</f>
        <v>35614</v>
      </c>
      <c r="C3428" s="1" t="str">
        <f>"MAHOPAC"</f>
        <v>MAHOPAC</v>
      </c>
      <c r="D3428" s="1" t="str">
        <f t="shared" si="252"/>
        <v>NY</v>
      </c>
      <c r="E3428" s="2">
        <v>1</v>
      </c>
      <c r="F3428" s="2">
        <v>1</v>
      </c>
      <c r="G3428" s="2">
        <v>1</v>
      </c>
      <c r="H3428" s="2">
        <v>1</v>
      </c>
    </row>
    <row r="3429" spans="1:8" x14ac:dyDescent="0.25">
      <c r="A3429" s="1" t="str">
        <f>"10530"</f>
        <v>10530</v>
      </c>
      <c r="B3429" s="1" t="str">
        <f>"35614"</f>
        <v>35614</v>
      </c>
      <c r="C3429" s="1" t="str">
        <f>"HARTSDALE"</f>
        <v>HARTSDALE</v>
      </c>
      <c r="D3429" s="1" t="str">
        <f t="shared" si="252"/>
        <v>NY</v>
      </c>
      <c r="E3429" s="2">
        <v>1</v>
      </c>
      <c r="F3429" s="2">
        <v>1</v>
      </c>
      <c r="G3429" s="2">
        <v>1</v>
      </c>
      <c r="H3429" s="2">
        <v>1</v>
      </c>
    </row>
    <row r="3430" spans="1:8" x14ac:dyDescent="0.25">
      <c r="A3430" s="1" t="str">
        <f>"10535"</f>
        <v>10535</v>
      </c>
      <c r="B3430" s="1" t="str">
        <f>"35614"</f>
        <v>35614</v>
      </c>
      <c r="C3430" s="1" t="str">
        <f>"JEFFERSON VALLEY"</f>
        <v>JEFFERSON VALLEY</v>
      </c>
      <c r="D3430" s="1" t="str">
        <f t="shared" si="252"/>
        <v>NY</v>
      </c>
      <c r="E3430" s="2">
        <v>1</v>
      </c>
      <c r="F3430" s="2">
        <v>1</v>
      </c>
      <c r="G3430" s="2">
        <v>1</v>
      </c>
      <c r="H3430" s="2">
        <v>1</v>
      </c>
    </row>
    <row r="3431" spans="1:8" x14ac:dyDescent="0.25">
      <c r="A3431" s="1" t="str">
        <f>"19003"</f>
        <v>19003</v>
      </c>
      <c r="B3431" s="1" t="str">
        <f>"37964"</f>
        <v>37964</v>
      </c>
      <c r="C3431" s="1" t="str">
        <f>"ARDMORE"</f>
        <v>ARDMORE</v>
      </c>
      <c r="D3431" s="1" t="str">
        <f t="shared" ref="D3431:D3436" si="253">"PA"</f>
        <v>PA</v>
      </c>
      <c r="E3431" s="2">
        <v>0.40702998080047198</v>
      </c>
      <c r="F3431" s="2">
        <v>0.106031128404669</v>
      </c>
      <c r="G3431" s="2">
        <v>0.18181818181818099</v>
      </c>
      <c r="H3431" s="2">
        <v>0.35177354944796801</v>
      </c>
    </row>
    <row r="3432" spans="1:8" x14ac:dyDescent="0.25">
      <c r="A3432" s="1" t="str">
        <f>"19003"</f>
        <v>19003</v>
      </c>
      <c r="B3432" s="1" t="str">
        <f>"33874"</f>
        <v>33874</v>
      </c>
      <c r="C3432" s="1" t="str">
        <f>"ARDMORE"</f>
        <v>ARDMORE</v>
      </c>
      <c r="D3432" s="1" t="str">
        <f t="shared" si="253"/>
        <v>PA</v>
      </c>
      <c r="E3432" s="2">
        <v>0.59297001919952697</v>
      </c>
      <c r="F3432" s="2">
        <v>0.89396887159533001</v>
      </c>
      <c r="G3432" s="2">
        <v>0.81818181818181801</v>
      </c>
      <c r="H3432" s="2">
        <v>0.64822645055203099</v>
      </c>
    </row>
    <row r="3433" spans="1:8" x14ac:dyDescent="0.25">
      <c r="A3433" s="1" t="str">
        <f>"19102"</f>
        <v>19102</v>
      </c>
      <c r="B3433" s="1" t="str">
        <f>"37964"</f>
        <v>37964</v>
      </c>
      <c r="C3433" s="1" t="str">
        <f>"PHILADELPHIA"</f>
        <v>PHILADELPHIA</v>
      </c>
      <c r="D3433" s="1" t="str">
        <f t="shared" si="253"/>
        <v>PA</v>
      </c>
      <c r="E3433" s="2">
        <v>1</v>
      </c>
      <c r="F3433" s="2">
        <v>1</v>
      </c>
      <c r="G3433" s="2">
        <v>1</v>
      </c>
      <c r="H3433" s="2">
        <v>1</v>
      </c>
    </row>
    <row r="3434" spans="1:8" x14ac:dyDescent="0.25">
      <c r="A3434" s="1" t="str">
        <f>"19382"</f>
        <v>19382</v>
      </c>
      <c r="B3434" s="1" t="str">
        <f>"33874"</f>
        <v>33874</v>
      </c>
      <c r="C3434" s="1" t="str">
        <f>"WEST CHESTER"</f>
        <v>WEST CHESTER</v>
      </c>
      <c r="D3434" s="1" t="str">
        <f t="shared" si="253"/>
        <v>PA</v>
      </c>
      <c r="E3434" s="2">
        <v>0.98405715032451901</v>
      </c>
      <c r="F3434" s="2">
        <v>0.96051167964404804</v>
      </c>
      <c r="G3434" s="2">
        <v>0.98992443324936996</v>
      </c>
      <c r="H3434" s="2">
        <v>0.98269482771910799</v>
      </c>
    </row>
    <row r="3435" spans="1:8" x14ac:dyDescent="0.25">
      <c r="A3435" s="1" t="str">
        <f>"19382"</f>
        <v>19382</v>
      </c>
      <c r="B3435" s="1" t="str">
        <f>"37964"</f>
        <v>37964</v>
      </c>
      <c r="C3435" s="1" t="str">
        <f>"WEST CHESTER"</f>
        <v>WEST CHESTER</v>
      </c>
      <c r="D3435" s="1" t="str">
        <f t="shared" si="253"/>
        <v>PA</v>
      </c>
      <c r="E3435" s="2">
        <v>1.5942849675480202E-2</v>
      </c>
      <c r="F3435" s="2">
        <v>3.9488320355950998E-2</v>
      </c>
      <c r="G3435" s="2">
        <v>1.00755667506297E-2</v>
      </c>
      <c r="H3435" s="2">
        <v>1.7305172280890999E-2</v>
      </c>
    </row>
    <row r="3436" spans="1:8" x14ac:dyDescent="0.25">
      <c r="A3436" s="1" t="str">
        <f>"19477"</f>
        <v>19477</v>
      </c>
      <c r="B3436" s="1" t="str">
        <f>"33874"</f>
        <v>33874</v>
      </c>
      <c r="C3436" s="1" t="str">
        <f>"SPRING HOUSE"</f>
        <v>SPRING HOUSE</v>
      </c>
      <c r="D3436" s="1" t="str">
        <f t="shared" si="253"/>
        <v>PA</v>
      </c>
      <c r="E3436" s="2">
        <v>1</v>
      </c>
      <c r="F3436" s="2">
        <v>1</v>
      </c>
      <c r="G3436" s="2">
        <v>1</v>
      </c>
      <c r="H3436" s="2">
        <v>1</v>
      </c>
    </row>
    <row r="3437" spans="1:8" x14ac:dyDescent="0.25">
      <c r="A3437" s="1" t="str">
        <f>"19808"</f>
        <v>19808</v>
      </c>
      <c r="B3437" s="1" t="str">
        <f>"48864"</f>
        <v>48864</v>
      </c>
      <c r="C3437" s="1" t="str">
        <f>"WILMINGTON"</f>
        <v>WILMINGTON</v>
      </c>
      <c r="D3437" s="1" t="str">
        <f>"DE"</f>
        <v>DE</v>
      </c>
      <c r="E3437" s="2">
        <v>1</v>
      </c>
      <c r="F3437" s="2">
        <v>1</v>
      </c>
      <c r="G3437" s="2">
        <v>1</v>
      </c>
      <c r="H3437" s="2">
        <v>1</v>
      </c>
    </row>
    <row r="3438" spans="1:8" x14ac:dyDescent="0.25">
      <c r="A3438" s="1" t="str">
        <f>"20032"</f>
        <v>20032</v>
      </c>
      <c r="B3438" s="1" t="str">
        <f>"47894"</f>
        <v>47894</v>
      </c>
      <c r="C3438" s="1" t="str">
        <f>"WASHINGTON"</f>
        <v>WASHINGTON</v>
      </c>
      <c r="D3438" s="1" t="str">
        <f>"DC"</f>
        <v>DC</v>
      </c>
      <c r="E3438" s="2">
        <v>1</v>
      </c>
      <c r="F3438" s="2">
        <v>1</v>
      </c>
      <c r="G3438" s="2">
        <v>1</v>
      </c>
      <c r="H3438" s="2">
        <v>1</v>
      </c>
    </row>
    <row r="3439" spans="1:8" x14ac:dyDescent="0.25">
      <c r="A3439" s="1" t="str">
        <f>"20639"</f>
        <v>20639</v>
      </c>
      <c r="B3439" s="1" t="str">
        <f>"47894"</f>
        <v>47894</v>
      </c>
      <c r="C3439" s="1" t="str">
        <f>"HUNTINGTOWN"</f>
        <v>HUNTINGTOWN</v>
      </c>
      <c r="D3439" s="1" t="str">
        <f>"MD"</f>
        <v>MD</v>
      </c>
      <c r="E3439" s="2">
        <v>1</v>
      </c>
      <c r="F3439" s="2">
        <v>1</v>
      </c>
      <c r="G3439" s="2">
        <v>1</v>
      </c>
      <c r="H3439" s="2">
        <v>1</v>
      </c>
    </row>
    <row r="3440" spans="1:8" x14ac:dyDescent="0.25">
      <c r="A3440" s="1" t="str">
        <f>"20330"</f>
        <v>20330</v>
      </c>
      <c r="B3440" s="1" t="str">
        <f>"47894"</f>
        <v>47894</v>
      </c>
      <c r="C3440" s="1" t="str">
        <f>"WASHINGTON"</f>
        <v>WASHINGTON</v>
      </c>
      <c r="D3440" s="1" t="str">
        <f>"DC"</f>
        <v>DC</v>
      </c>
      <c r="E3440" s="2">
        <v>0</v>
      </c>
      <c r="F3440" s="2">
        <v>1</v>
      </c>
      <c r="G3440" s="2">
        <v>1</v>
      </c>
      <c r="H3440" s="2">
        <v>1</v>
      </c>
    </row>
    <row r="3441" spans="1:8" x14ac:dyDescent="0.25">
      <c r="A3441" s="1" t="str">
        <f>"20736"</f>
        <v>20736</v>
      </c>
      <c r="B3441" s="1" t="str">
        <f>"47894"</f>
        <v>47894</v>
      </c>
      <c r="C3441" s="1" t="str">
        <f>"OWINGS"</f>
        <v>OWINGS</v>
      </c>
      <c r="D3441" s="1" t="str">
        <f>"MD"</f>
        <v>MD</v>
      </c>
      <c r="E3441" s="2">
        <v>1</v>
      </c>
      <c r="F3441" s="2">
        <v>1</v>
      </c>
      <c r="G3441" s="2">
        <v>1</v>
      </c>
      <c r="H3441" s="2">
        <v>1</v>
      </c>
    </row>
    <row r="3442" spans="1:8" x14ac:dyDescent="0.25">
      <c r="A3442" s="1" t="str">
        <f>"20841"</f>
        <v>20841</v>
      </c>
      <c r="B3442" s="1" t="str">
        <f>"23224"</f>
        <v>23224</v>
      </c>
      <c r="C3442" s="1" t="str">
        <f>"BOYDS"</f>
        <v>BOYDS</v>
      </c>
      <c r="D3442" s="1" t="str">
        <f>"MD"</f>
        <v>MD</v>
      </c>
      <c r="E3442" s="2">
        <v>1</v>
      </c>
      <c r="F3442" s="2">
        <v>1</v>
      </c>
      <c r="G3442" s="2">
        <v>1</v>
      </c>
      <c r="H3442" s="2">
        <v>1</v>
      </c>
    </row>
    <row r="3443" spans="1:8" x14ac:dyDescent="0.25">
      <c r="A3443" s="1" t="str">
        <f>"21798"</f>
        <v>21798</v>
      </c>
      <c r="B3443" s="1" t="str">
        <f>"23224"</f>
        <v>23224</v>
      </c>
      <c r="C3443" s="1" t="str">
        <f>"WOODSBORO"</f>
        <v>WOODSBORO</v>
      </c>
      <c r="D3443" s="1" t="str">
        <f>"MD"</f>
        <v>MD</v>
      </c>
      <c r="E3443" s="2">
        <v>1</v>
      </c>
      <c r="F3443" s="2">
        <v>1</v>
      </c>
      <c r="G3443" s="2">
        <v>1</v>
      </c>
      <c r="H3443" s="2">
        <v>1</v>
      </c>
    </row>
    <row r="3444" spans="1:8" x14ac:dyDescent="0.25">
      <c r="A3444" s="1" t="str">
        <f>"21776"</f>
        <v>21776</v>
      </c>
      <c r="B3444" s="1" t="str">
        <f>"23224"</f>
        <v>23224</v>
      </c>
      <c r="C3444" s="1" t="str">
        <f>"NEW WINDSOR"</f>
        <v>NEW WINDSOR</v>
      </c>
      <c r="D3444" s="1" t="str">
        <f>"MD"</f>
        <v>MD</v>
      </c>
      <c r="E3444" s="2">
        <v>1</v>
      </c>
      <c r="F3444" s="2">
        <v>0</v>
      </c>
      <c r="G3444" s="2">
        <v>1</v>
      </c>
      <c r="H3444" s="2">
        <v>1</v>
      </c>
    </row>
    <row r="3445" spans="1:8" x14ac:dyDescent="0.25">
      <c r="A3445" s="1" t="str">
        <f>"21901"</f>
        <v>21901</v>
      </c>
      <c r="B3445" s="1" t="str">
        <f>"48864"</f>
        <v>48864</v>
      </c>
      <c r="C3445" s="1" t="str">
        <f>"NORTH EAST"</f>
        <v>NORTH EAST</v>
      </c>
      <c r="D3445" s="1" t="str">
        <f>"MD"</f>
        <v>MD</v>
      </c>
      <c r="E3445" s="2">
        <v>1</v>
      </c>
      <c r="F3445" s="2">
        <v>1</v>
      </c>
      <c r="G3445" s="2">
        <v>1</v>
      </c>
      <c r="H3445" s="2">
        <v>1</v>
      </c>
    </row>
    <row r="3446" spans="1:8" x14ac:dyDescent="0.25">
      <c r="A3446" s="1" t="str">
        <f>"20143"</f>
        <v>20143</v>
      </c>
      <c r="B3446" s="1" t="str">
        <f t="shared" ref="B3446:B3453" si="254">"47894"</f>
        <v>47894</v>
      </c>
      <c r="C3446" s="1" t="str">
        <f>"CATHARPIN"</f>
        <v>CATHARPIN</v>
      </c>
      <c r="D3446" s="1" t="str">
        <f t="shared" ref="D3446:D3453" si="255">"VA"</f>
        <v>VA</v>
      </c>
      <c r="E3446" s="2">
        <v>1</v>
      </c>
      <c r="F3446" s="2">
        <v>1</v>
      </c>
      <c r="G3446" s="2">
        <v>1</v>
      </c>
      <c r="H3446" s="2">
        <v>1</v>
      </c>
    </row>
    <row r="3447" spans="1:8" x14ac:dyDescent="0.25">
      <c r="A3447" s="1" t="str">
        <f>"20130"</f>
        <v>20130</v>
      </c>
      <c r="B3447" s="1" t="str">
        <f t="shared" si="254"/>
        <v>47894</v>
      </c>
      <c r="C3447" s="1" t="str">
        <f>"PARIS"</f>
        <v>PARIS</v>
      </c>
      <c r="D3447" s="1" t="str">
        <f t="shared" si="255"/>
        <v>VA</v>
      </c>
      <c r="E3447" s="2">
        <v>1</v>
      </c>
      <c r="F3447" s="2">
        <v>1</v>
      </c>
      <c r="G3447" s="2">
        <v>1</v>
      </c>
      <c r="H3447" s="2">
        <v>1</v>
      </c>
    </row>
    <row r="3448" spans="1:8" x14ac:dyDescent="0.25">
      <c r="A3448" s="1" t="str">
        <f>"20166"</f>
        <v>20166</v>
      </c>
      <c r="B3448" s="1" t="str">
        <f t="shared" si="254"/>
        <v>47894</v>
      </c>
      <c r="C3448" s="1" t="str">
        <f>"STERLING"</f>
        <v>STERLING</v>
      </c>
      <c r="D3448" s="1" t="str">
        <f t="shared" si="255"/>
        <v>VA</v>
      </c>
      <c r="E3448" s="2">
        <v>1</v>
      </c>
      <c r="F3448" s="2">
        <v>1</v>
      </c>
      <c r="G3448" s="2">
        <v>1</v>
      </c>
      <c r="H3448" s="2">
        <v>1</v>
      </c>
    </row>
    <row r="3449" spans="1:8" x14ac:dyDescent="0.25">
      <c r="A3449" s="1" t="str">
        <f>"22407"</f>
        <v>22407</v>
      </c>
      <c r="B3449" s="1" t="str">
        <f t="shared" si="254"/>
        <v>47894</v>
      </c>
      <c r="C3449" s="1" t="str">
        <f>"FREDERICKSBURG"</f>
        <v>FREDERICKSBURG</v>
      </c>
      <c r="D3449" s="1" t="str">
        <f t="shared" si="255"/>
        <v>VA</v>
      </c>
      <c r="E3449" s="2">
        <v>1</v>
      </c>
      <c r="F3449" s="2">
        <v>1</v>
      </c>
      <c r="G3449" s="2">
        <v>1</v>
      </c>
      <c r="H3449" s="2">
        <v>1</v>
      </c>
    </row>
    <row r="3450" spans="1:8" x14ac:dyDescent="0.25">
      <c r="A3450" s="1" t="str">
        <f>"22312"</f>
        <v>22312</v>
      </c>
      <c r="B3450" s="1" t="str">
        <f t="shared" si="254"/>
        <v>47894</v>
      </c>
      <c r="C3450" s="1" t="str">
        <f>"ALEXANDRIA"</f>
        <v>ALEXANDRIA</v>
      </c>
      <c r="D3450" s="1" t="str">
        <f t="shared" si="255"/>
        <v>VA</v>
      </c>
      <c r="E3450" s="2">
        <v>1</v>
      </c>
      <c r="F3450" s="2">
        <v>1</v>
      </c>
      <c r="G3450" s="2">
        <v>1</v>
      </c>
      <c r="H3450" s="2">
        <v>1</v>
      </c>
    </row>
    <row r="3451" spans="1:8" x14ac:dyDescent="0.25">
      <c r="A3451" s="1" t="str">
        <f>"22645"</f>
        <v>22645</v>
      </c>
      <c r="B3451" s="1" t="str">
        <f t="shared" si="254"/>
        <v>47894</v>
      </c>
      <c r="C3451" s="1" t="str">
        <f>"MIDDLETOWN"</f>
        <v>MIDDLETOWN</v>
      </c>
      <c r="D3451" s="1" t="str">
        <f t="shared" si="255"/>
        <v>VA</v>
      </c>
      <c r="E3451" s="2">
        <v>1</v>
      </c>
      <c r="F3451" s="2">
        <v>1</v>
      </c>
      <c r="G3451" s="2">
        <v>1</v>
      </c>
      <c r="H3451" s="2">
        <v>1</v>
      </c>
    </row>
    <row r="3452" spans="1:8" x14ac:dyDescent="0.25">
      <c r="A3452" s="1" t="str">
        <f>"22742"</f>
        <v>22742</v>
      </c>
      <c r="B3452" s="1" t="str">
        <f t="shared" si="254"/>
        <v>47894</v>
      </c>
      <c r="C3452" s="1" t="str">
        <f>"SUMERDUCK"</f>
        <v>SUMERDUCK</v>
      </c>
      <c r="D3452" s="1" t="str">
        <f t="shared" si="255"/>
        <v>VA</v>
      </c>
      <c r="E3452" s="2">
        <v>1</v>
      </c>
      <c r="F3452" s="2">
        <v>1</v>
      </c>
      <c r="G3452" s="2">
        <v>1</v>
      </c>
      <c r="H3452" s="2">
        <v>1</v>
      </c>
    </row>
    <row r="3453" spans="1:8" x14ac:dyDescent="0.25">
      <c r="A3453" s="1" t="str">
        <f>"22736"</f>
        <v>22736</v>
      </c>
      <c r="B3453" s="1" t="str">
        <f t="shared" si="254"/>
        <v>47894</v>
      </c>
      <c r="C3453" s="1" t="str">
        <f>"RICHARDSVILLE"</f>
        <v>RICHARDSVILLE</v>
      </c>
      <c r="D3453" s="1" t="str">
        <f t="shared" si="255"/>
        <v>VA</v>
      </c>
      <c r="E3453" s="2">
        <v>1</v>
      </c>
      <c r="F3453" s="2">
        <v>1</v>
      </c>
      <c r="G3453" s="2">
        <v>1</v>
      </c>
      <c r="H3453" s="2">
        <v>1</v>
      </c>
    </row>
    <row r="3454" spans="1:8" x14ac:dyDescent="0.25">
      <c r="A3454" s="1" t="str">
        <f>"33054"</f>
        <v>33054</v>
      </c>
      <c r="B3454" s="1" t="str">
        <f>"33124"</f>
        <v>33124</v>
      </c>
      <c r="C3454" s="1" t="str">
        <f>"OPA LOCKA"</f>
        <v>OPA LOCKA</v>
      </c>
      <c r="D3454" s="1" t="str">
        <f t="shared" ref="D3454:D3459" si="256">"FL"</f>
        <v>FL</v>
      </c>
      <c r="E3454" s="2">
        <v>1</v>
      </c>
      <c r="F3454" s="2">
        <v>1</v>
      </c>
      <c r="G3454" s="2">
        <v>1</v>
      </c>
      <c r="H3454" s="2">
        <v>1</v>
      </c>
    </row>
    <row r="3455" spans="1:8" x14ac:dyDescent="0.25">
      <c r="A3455" s="1" t="str">
        <f>"33071"</f>
        <v>33071</v>
      </c>
      <c r="B3455" s="1" t="str">
        <f>"22744"</f>
        <v>22744</v>
      </c>
      <c r="C3455" s="1" t="str">
        <f>"CORAL SPRINGS"</f>
        <v>CORAL SPRINGS</v>
      </c>
      <c r="D3455" s="1" t="str">
        <f t="shared" si="256"/>
        <v>FL</v>
      </c>
      <c r="E3455" s="2">
        <v>1</v>
      </c>
      <c r="F3455" s="2">
        <v>1</v>
      </c>
      <c r="G3455" s="2">
        <v>1</v>
      </c>
      <c r="H3455" s="2">
        <v>1</v>
      </c>
    </row>
    <row r="3456" spans="1:8" x14ac:dyDescent="0.25">
      <c r="A3456" s="1" t="str">
        <f>"33409"</f>
        <v>33409</v>
      </c>
      <c r="B3456" s="1" t="str">
        <f>"48424"</f>
        <v>48424</v>
      </c>
      <c r="C3456" s="1" t="str">
        <f>"WEST PALM BEACH"</f>
        <v>WEST PALM BEACH</v>
      </c>
      <c r="D3456" s="1" t="str">
        <f t="shared" si="256"/>
        <v>FL</v>
      </c>
      <c r="E3456" s="2">
        <v>1</v>
      </c>
      <c r="F3456" s="2">
        <v>1</v>
      </c>
      <c r="G3456" s="2">
        <v>1</v>
      </c>
      <c r="H3456" s="2">
        <v>1</v>
      </c>
    </row>
    <row r="3457" spans="1:8" x14ac:dyDescent="0.25">
      <c r="A3457" s="1" t="str">
        <f>"33157"</f>
        <v>33157</v>
      </c>
      <c r="B3457" s="1" t="str">
        <f>"33124"</f>
        <v>33124</v>
      </c>
      <c r="C3457" s="1" t="str">
        <f>"MIAMI"</f>
        <v>MIAMI</v>
      </c>
      <c r="D3457" s="1" t="str">
        <f t="shared" si="256"/>
        <v>FL</v>
      </c>
      <c r="E3457" s="2">
        <v>1</v>
      </c>
      <c r="F3457" s="2">
        <v>1</v>
      </c>
      <c r="G3457" s="2">
        <v>1</v>
      </c>
      <c r="H3457" s="2">
        <v>1</v>
      </c>
    </row>
    <row r="3458" spans="1:8" x14ac:dyDescent="0.25">
      <c r="A3458" s="1" t="str">
        <f>"33474"</f>
        <v>33474</v>
      </c>
      <c r="B3458" s="1" t="str">
        <f>"48424"</f>
        <v>48424</v>
      </c>
      <c r="C3458" s="1" t="str">
        <f>"BOYNTON BEACH"</f>
        <v>BOYNTON BEACH</v>
      </c>
      <c r="D3458" s="1" t="str">
        <f t="shared" si="256"/>
        <v>FL</v>
      </c>
      <c r="E3458" s="2">
        <v>1</v>
      </c>
      <c r="F3458" s="2">
        <v>1</v>
      </c>
      <c r="G3458" s="2">
        <v>1</v>
      </c>
      <c r="H3458" s="2">
        <v>1</v>
      </c>
    </row>
    <row r="3459" spans="1:8" x14ac:dyDescent="0.25">
      <c r="A3459" s="1" t="str">
        <f>"33304"</f>
        <v>33304</v>
      </c>
      <c r="B3459" s="1" t="str">
        <f>"22744"</f>
        <v>22744</v>
      </c>
      <c r="C3459" s="1" t="str">
        <f>"FORT LAUDERDALE"</f>
        <v>FORT LAUDERDALE</v>
      </c>
      <c r="D3459" s="1" t="str">
        <f t="shared" si="256"/>
        <v>FL</v>
      </c>
      <c r="E3459" s="2">
        <v>1</v>
      </c>
      <c r="F3459" s="2">
        <v>1</v>
      </c>
      <c r="G3459" s="2">
        <v>1</v>
      </c>
      <c r="H3459" s="2">
        <v>1</v>
      </c>
    </row>
    <row r="3460" spans="1:8" x14ac:dyDescent="0.25">
      <c r="A3460" s="1" t="str">
        <f>"25443"</f>
        <v>25443</v>
      </c>
      <c r="B3460" s="1" t="str">
        <f>"47894"</f>
        <v>47894</v>
      </c>
      <c r="C3460" s="1" t="str">
        <f>"SHEPHERDSTOWN"</f>
        <v>SHEPHERDSTOWN</v>
      </c>
      <c r="D3460" s="1" t="str">
        <f>"WV"</f>
        <v>WV</v>
      </c>
      <c r="E3460" s="2">
        <v>1</v>
      </c>
      <c r="F3460" s="2">
        <v>1</v>
      </c>
      <c r="G3460" s="2">
        <v>1</v>
      </c>
      <c r="H3460" s="2">
        <v>1</v>
      </c>
    </row>
    <row r="3461" spans="1:8" x14ac:dyDescent="0.25">
      <c r="A3461" s="1" t="str">
        <f>"46303"</f>
        <v>46303</v>
      </c>
      <c r="B3461" s="1" t="str">
        <f>"23844"</f>
        <v>23844</v>
      </c>
      <c r="C3461" s="1" t="str">
        <f>"CEDAR LAKE"</f>
        <v>CEDAR LAKE</v>
      </c>
      <c r="D3461" s="1" t="str">
        <f>"IN"</f>
        <v>IN</v>
      </c>
      <c r="E3461" s="2">
        <v>1</v>
      </c>
      <c r="F3461" s="2">
        <v>1</v>
      </c>
      <c r="G3461" s="2">
        <v>1</v>
      </c>
      <c r="H3461" s="2">
        <v>1</v>
      </c>
    </row>
    <row r="3462" spans="1:8" x14ac:dyDescent="0.25">
      <c r="A3462" s="1" t="str">
        <f>"47948"</f>
        <v>47948</v>
      </c>
      <c r="B3462" s="1" t="str">
        <f>"23844"</f>
        <v>23844</v>
      </c>
      <c r="C3462" s="1" t="str">
        <f>"GOODLAND"</f>
        <v>GOODLAND</v>
      </c>
      <c r="D3462" s="1" t="str">
        <f>"IN"</f>
        <v>IN</v>
      </c>
      <c r="E3462" s="2">
        <v>1</v>
      </c>
      <c r="F3462" s="2">
        <v>1</v>
      </c>
      <c r="G3462" s="2">
        <v>1</v>
      </c>
      <c r="H3462" s="2">
        <v>1</v>
      </c>
    </row>
    <row r="3463" spans="1:8" x14ac:dyDescent="0.25">
      <c r="A3463" s="1" t="str">
        <f>"48066"</f>
        <v>48066</v>
      </c>
      <c r="B3463" s="1" t="str">
        <f>"47664"</f>
        <v>47664</v>
      </c>
      <c r="C3463" s="1" t="str">
        <f>"ROSEVILLE"</f>
        <v>ROSEVILLE</v>
      </c>
      <c r="D3463" s="1" t="str">
        <f>"MI"</f>
        <v>MI</v>
      </c>
      <c r="E3463" s="2">
        <v>1</v>
      </c>
      <c r="F3463" s="2">
        <v>1</v>
      </c>
      <c r="G3463" s="2">
        <v>1</v>
      </c>
      <c r="H3463" s="2">
        <v>1</v>
      </c>
    </row>
    <row r="3464" spans="1:8" x14ac:dyDescent="0.25">
      <c r="A3464" s="1" t="str">
        <f>"48092"</f>
        <v>48092</v>
      </c>
      <c r="B3464" s="1" t="str">
        <f>"47664"</f>
        <v>47664</v>
      </c>
      <c r="C3464" s="1" t="str">
        <f>"WARREN"</f>
        <v>WARREN</v>
      </c>
      <c r="D3464" s="1" t="str">
        <f>"MI"</f>
        <v>MI</v>
      </c>
      <c r="E3464" s="2">
        <v>1</v>
      </c>
      <c r="F3464" s="2">
        <v>1</v>
      </c>
      <c r="G3464" s="2">
        <v>1</v>
      </c>
      <c r="H3464" s="2">
        <v>1</v>
      </c>
    </row>
    <row r="3465" spans="1:8" x14ac:dyDescent="0.25">
      <c r="A3465" s="1" t="str">
        <f>"48328"</f>
        <v>48328</v>
      </c>
      <c r="B3465" s="1" t="str">
        <f>"47664"</f>
        <v>47664</v>
      </c>
      <c r="C3465" s="1" t="str">
        <f>"WATERFORD"</f>
        <v>WATERFORD</v>
      </c>
      <c r="D3465" s="1" t="str">
        <f>"MI"</f>
        <v>MI</v>
      </c>
      <c r="E3465" s="2">
        <v>1</v>
      </c>
      <c r="F3465" s="2">
        <v>1</v>
      </c>
      <c r="G3465" s="2">
        <v>1</v>
      </c>
      <c r="H3465" s="2">
        <v>1</v>
      </c>
    </row>
    <row r="3466" spans="1:8" x14ac:dyDescent="0.25">
      <c r="A3466" s="1" t="str">
        <f>"48227"</f>
        <v>48227</v>
      </c>
      <c r="B3466" s="1" t="str">
        <f>"19804"</f>
        <v>19804</v>
      </c>
      <c r="C3466" s="1" t="str">
        <f>"DETROIT"</f>
        <v>DETROIT</v>
      </c>
      <c r="D3466" s="1" t="str">
        <f>"MI"</f>
        <v>MI</v>
      </c>
      <c r="E3466" s="2">
        <v>1</v>
      </c>
      <c r="F3466" s="2">
        <v>1</v>
      </c>
      <c r="G3466" s="2">
        <v>1</v>
      </c>
      <c r="H3466" s="2">
        <v>1</v>
      </c>
    </row>
    <row r="3467" spans="1:8" x14ac:dyDescent="0.25">
      <c r="A3467" s="1" t="str">
        <f>"48220"</f>
        <v>48220</v>
      </c>
      <c r="B3467" s="1" t="str">
        <f>"47664"</f>
        <v>47664</v>
      </c>
      <c r="C3467" s="1" t="str">
        <f>"FERNDALE"</f>
        <v>FERNDALE</v>
      </c>
      <c r="D3467" s="1" t="str">
        <f>"MI"</f>
        <v>MI</v>
      </c>
      <c r="E3467" s="2">
        <v>1</v>
      </c>
      <c r="F3467" s="2">
        <v>1</v>
      </c>
      <c r="G3467" s="2">
        <v>1</v>
      </c>
      <c r="H3467" s="2">
        <v>1</v>
      </c>
    </row>
    <row r="3468" spans="1:8" x14ac:dyDescent="0.25">
      <c r="A3468" s="1" t="str">
        <f>"60505"</f>
        <v>60505</v>
      </c>
      <c r="B3468" s="1" t="str">
        <f>"20994"</f>
        <v>20994</v>
      </c>
      <c r="C3468" s="1" t="str">
        <f>"AURORA"</f>
        <v>AURORA</v>
      </c>
      <c r="D3468" s="1" t="str">
        <f t="shared" ref="D3468:D3475" si="257">"IL"</f>
        <v>IL</v>
      </c>
      <c r="E3468" s="2">
        <v>1</v>
      </c>
      <c r="F3468" s="2">
        <v>1</v>
      </c>
      <c r="G3468" s="2">
        <v>1</v>
      </c>
      <c r="H3468" s="2">
        <v>1</v>
      </c>
    </row>
    <row r="3469" spans="1:8" x14ac:dyDescent="0.25">
      <c r="A3469" s="1" t="str">
        <f>"60538"</f>
        <v>60538</v>
      </c>
      <c r="B3469" s="1" t="str">
        <f>"20994"</f>
        <v>20994</v>
      </c>
      <c r="C3469" s="1" t="str">
        <f>"MONTGOMERY"</f>
        <v>MONTGOMERY</v>
      </c>
      <c r="D3469" s="1" t="str">
        <f t="shared" si="257"/>
        <v>IL</v>
      </c>
      <c r="E3469" s="2">
        <v>1</v>
      </c>
      <c r="F3469" s="2">
        <v>1</v>
      </c>
      <c r="G3469" s="2">
        <v>1</v>
      </c>
      <c r="H3469" s="2">
        <v>1</v>
      </c>
    </row>
    <row r="3470" spans="1:8" x14ac:dyDescent="0.25">
      <c r="A3470" s="1" t="str">
        <f>"60134"</f>
        <v>60134</v>
      </c>
      <c r="B3470" s="1" t="str">
        <f>"20994"</f>
        <v>20994</v>
      </c>
      <c r="C3470" s="1" t="str">
        <f>"GENEVA"</f>
        <v>GENEVA</v>
      </c>
      <c r="D3470" s="1" t="str">
        <f t="shared" si="257"/>
        <v>IL</v>
      </c>
      <c r="E3470" s="2">
        <v>1</v>
      </c>
      <c r="F3470" s="2">
        <v>1</v>
      </c>
      <c r="G3470" s="2">
        <v>1</v>
      </c>
      <c r="H3470" s="2">
        <v>1</v>
      </c>
    </row>
    <row r="3471" spans="1:8" x14ac:dyDescent="0.25">
      <c r="A3471" s="1" t="str">
        <f>"60073"</f>
        <v>60073</v>
      </c>
      <c r="B3471" s="1" t="str">
        <f>"29404"</f>
        <v>29404</v>
      </c>
      <c r="C3471" s="1" t="str">
        <f>"ROUND LAKE"</f>
        <v>ROUND LAKE</v>
      </c>
      <c r="D3471" s="1" t="str">
        <f t="shared" si="257"/>
        <v>IL</v>
      </c>
      <c r="E3471" s="2">
        <v>1</v>
      </c>
      <c r="F3471" s="2">
        <v>1</v>
      </c>
      <c r="G3471" s="2">
        <v>1</v>
      </c>
      <c r="H3471" s="2">
        <v>1</v>
      </c>
    </row>
    <row r="3472" spans="1:8" x14ac:dyDescent="0.25">
      <c r="A3472" s="1" t="str">
        <f>"60178"</f>
        <v>60178</v>
      </c>
      <c r="B3472" s="1" t="str">
        <f>"20994"</f>
        <v>20994</v>
      </c>
      <c r="C3472" s="1" t="str">
        <f>"SYCAMORE"</f>
        <v>SYCAMORE</v>
      </c>
      <c r="D3472" s="1" t="str">
        <f t="shared" si="257"/>
        <v>IL</v>
      </c>
      <c r="E3472" s="2">
        <v>1</v>
      </c>
      <c r="F3472" s="2">
        <v>1</v>
      </c>
      <c r="G3472" s="2">
        <v>1</v>
      </c>
      <c r="H3472" s="2">
        <v>1</v>
      </c>
    </row>
    <row r="3473" spans="1:8" x14ac:dyDescent="0.25">
      <c r="A3473" s="1" t="str">
        <f>"60619"</f>
        <v>60619</v>
      </c>
      <c r="B3473" s="1" t="str">
        <f>"16984"</f>
        <v>16984</v>
      </c>
      <c r="C3473" s="1" t="str">
        <f>"CHICAGO"</f>
        <v>CHICAGO</v>
      </c>
      <c r="D3473" s="1" t="str">
        <f t="shared" si="257"/>
        <v>IL</v>
      </c>
      <c r="E3473" s="2">
        <v>1</v>
      </c>
      <c r="F3473" s="2">
        <v>1</v>
      </c>
      <c r="G3473" s="2">
        <v>1</v>
      </c>
      <c r="H3473" s="2">
        <v>1</v>
      </c>
    </row>
    <row r="3474" spans="1:8" x14ac:dyDescent="0.25">
      <c r="A3474" s="1" t="str">
        <f>"60612"</f>
        <v>60612</v>
      </c>
      <c r="B3474" s="1" t="str">
        <f>"16984"</f>
        <v>16984</v>
      </c>
      <c r="C3474" s="1" t="str">
        <f>"CHICAGO"</f>
        <v>CHICAGO</v>
      </c>
      <c r="D3474" s="1" t="str">
        <f t="shared" si="257"/>
        <v>IL</v>
      </c>
      <c r="E3474" s="2">
        <v>1</v>
      </c>
      <c r="F3474" s="2">
        <v>1</v>
      </c>
      <c r="G3474" s="2">
        <v>1</v>
      </c>
      <c r="H3474" s="2">
        <v>1</v>
      </c>
    </row>
    <row r="3475" spans="1:8" x14ac:dyDescent="0.25">
      <c r="A3475" s="1" t="str">
        <f>"60641"</f>
        <v>60641</v>
      </c>
      <c r="B3475" s="1" t="str">
        <f>"16984"</f>
        <v>16984</v>
      </c>
      <c r="C3475" s="1" t="str">
        <f>"CHICAGO"</f>
        <v>CHICAGO</v>
      </c>
      <c r="D3475" s="1" t="str">
        <f t="shared" si="257"/>
        <v>IL</v>
      </c>
      <c r="E3475" s="2">
        <v>1</v>
      </c>
      <c r="F3475" s="2">
        <v>1</v>
      </c>
      <c r="G3475" s="2">
        <v>1</v>
      </c>
      <c r="H3475" s="2">
        <v>1</v>
      </c>
    </row>
    <row r="3476" spans="1:8" x14ac:dyDescent="0.25">
      <c r="A3476" s="1" t="str">
        <f>"75237"</f>
        <v>75237</v>
      </c>
      <c r="B3476" s="1" t="str">
        <f>"19124"</f>
        <v>19124</v>
      </c>
      <c r="C3476" s="1" t="str">
        <f>"DALLAS"</f>
        <v>DALLAS</v>
      </c>
      <c r="D3476" s="1" t="str">
        <f t="shared" ref="D3476:D3484" si="258">"TX"</f>
        <v>TX</v>
      </c>
      <c r="E3476" s="2">
        <v>1</v>
      </c>
      <c r="F3476" s="2">
        <v>1</v>
      </c>
      <c r="G3476" s="2">
        <v>1</v>
      </c>
      <c r="H3476" s="2">
        <v>1</v>
      </c>
    </row>
    <row r="3477" spans="1:8" x14ac:dyDescent="0.25">
      <c r="A3477" s="1" t="str">
        <f>"75250"</f>
        <v>75250</v>
      </c>
      <c r="B3477" s="1" t="str">
        <f>"19124"</f>
        <v>19124</v>
      </c>
      <c r="C3477" s="1" t="str">
        <f>"DALLAS"</f>
        <v>DALLAS</v>
      </c>
      <c r="D3477" s="1" t="str">
        <f t="shared" si="258"/>
        <v>TX</v>
      </c>
      <c r="E3477" s="2">
        <v>1</v>
      </c>
      <c r="F3477" s="2">
        <v>1</v>
      </c>
      <c r="G3477" s="2">
        <v>1</v>
      </c>
      <c r="H3477" s="2">
        <v>1</v>
      </c>
    </row>
    <row r="3478" spans="1:8" x14ac:dyDescent="0.25">
      <c r="A3478" s="1" t="str">
        <f>"75220"</f>
        <v>75220</v>
      </c>
      <c r="B3478" s="1" t="str">
        <f>"19124"</f>
        <v>19124</v>
      </c>
      <c r="C3478" s="1" t="str">
        <f>"DALLAS"</f>
        <v>DALLAS</v>
      </c>
      <c r="D3478" s="1" t="str">
        <f t="shared" si="258"/>
        <v>TX</v>
      </c>
      <c r="E3478" s="2">
        <v>1</v>
      </c>
      <c r="F3478" s="2">
        <v>1</v>
      </c>
      <c r="G3478" s="2">
        <v>1</v>
      </c>
      <c r="H3478" s="2">
        <v>1</v>
      </c>
    </row>
    <row r="3479" spans="1:8" x14ac:dyDescent="0.25">
      <c r="A3479" s="1" t="str">
        <f>"75072"</f>
        <v>75072</v>
      </c>
      <c r="B3479" s="1" t="str">
        <f>"19124"</f>
        <v>19124</v>
      </c>
      <c r="C3479" s="1" t="str">
        <f>"MCKINNEY"</f>
        <v>MCKINNEY</v>
      </c>
      <c r="D3479" s="1" t="str">
        <f t="shared" si="258"/>
        <v>TX</v>
      </c>
      <c r="E3479" s="2">
        <v>1</v>
      </c>
      <c r="F3479" s="2">
        <v>1</v>
      </c>
      <c r="G3479" s="2">
        <v>1</v>
      </c>
      <c r="H3479" s="2">
        <v>1</v>
      </c>
    </row>
    <row r="3480" spans="1:8" x14ac:dyDescent="0.25">
      <c r="A3480" s="1" t="str">
        <f>"76137"</f>
        <v>76137</v>
      </c>
      <c r="B3480" s="1" t="str">
        <f>"23104"</f>
        <v>23104</v>
      </c>
      <c r="C3480" s="1" t="str">
        <f>"FORT WORTH"</f>
        <v>FORT WORTH</v>
      </c>
      <c r="D3480" s="1" t="str">
        <f t="shared" si="258"/>
        <v>TX</v>
      </c>
      <c r="E3480" s="2">
        <v>1</v>
      </c>
      <c r="F3480" s="2">
        <v>1</v>
      </c>
      <c r="G3480" s="2">
        <v>1</v>
      </c>
      <c r="H3480" s="2">
        <v>1</v>
      </c>
    </row>
    <row r="3481" spans="1:8" x14ac:dyDescent="0.25">
      <c r="A3481" s="1" t="str">
        <f>"76140"</f>
        <v>76140</v>
      </c>
      <c r="B3481" s="1" t="str">
        <f>"23104"</f>
        <v>23104</v>
      </c>
      <c r="C3481" s="1" t="str">
        <f>"FORT WORTH"</f>
        <v>FORT WORTH</v>
      </c>
      <c r="D3481" s="1" t="str">
        <f t="shared" si="258"/>
        <v>TX</v>
      </c>
      <c r="E3481" s="2">
        <v>1</v>
      </c>
      <c r="F3481" s="2">
        <v>1</v>
      </c>
      <c r="G3481" s="2">
        <v>1</v>
      </c>
      <c r="H3481" s="2">
        <v>1</v>
      </c>
    </row>
    <row r="3482" spans="1:8" x14ac:dyDescent="0.25">
      <c r="A3482" s="1" t="str">
        <f>"76135"</f>
        <v>76135</v>
      </c>
      <c r="B3482" s="1" t="str">
        <f>"23104"</f>
        <v>23104</v>
      </c>
      <c r="C3482" s="1" t="str">
        <f>"FORT WORTH"</f>
        <v>FORT WORTH</v>
      </c>
      <c r="D3482" s="1" t="str">
        <f t="shared" si="258"/>
        <v>TX</v>
      </c>
      <c r="E3482" s="2">
        <v>1</v>
      </c>
      <c r="F3482" s="2">
        <v>1</v>
      </c>
      <c r="G3482" s="2">
        <v>1</v>
      </c>
      <c r="H3482" s="2">
        <v>1</v>
      </c>
    </row>
    <row r="3483" spans="1:8" x14ac:dyDescent="0.25">
      <c r="A3483" s="1" t="str">
        <f>"76123"</f>
        <v>76123</v>
      </c>
      <c r="B3483" s="1" t="str">
        <f>"23104"</f>
        <v>23104</v>
      </c>
      <c r="C3483" s="1" t="str">
        <f>"FORT WORTH"</f>
        <v>FORT WORTH</v>
      </c>
      <c r="D3483" s="1" t="str">
        <f t="shared" si="258"/>
        <v>TX</v>
      </c>
      <c r="E3483" s="2">
        <v>1</v>
      </c>
      <c r="F3483" s="2">
        <v>1</v>
      </c>
      <c r="G3483" s="2">
        <v>1</v>
      </c>
      <c r="H3483" s="2">
        <v>1</v>
      </c>
    </row>
    <row r="3484" spans="1:8" x14ac:dyDescent="0.25">
      <c r="A3484" s="1" t="str">
        <f>"76005"</f>
        <v>76005</v>
      </c>
      <c r="B3484" s="1" t="str">
        <f>"23104"</f>
        <v>23104</v>
      </c>
      <c r="C3484" s="1" t="str">
        <f>"ARLINGTON"</f>
        <v>ARLINGTON</v>
      </c>
      <c r="D3484" s="1" t="str">
        <f t="shared" si="258"/>
        <v>TX</v>
      </c>
      <c r="E3484" s="2">
        <v>1</v>
      </c>
      <c r="F3484" s="2">
        <v>1</v>
      </c>
      <c r="G3484" s="2">
        <v>1</v>
      </c>
      <c r="H3484" s="2">
        <v>1</v>
      </c>
    </row>
    <row r="3485" spans="1:8" x14ac:dyDescent="0.25">
      <c r="A3485" s="1" t="str">
        <f>"90248"</f>
        <v>90248</v>
      </c>
      <c r="B3485" s="1" t="str">
        <f t="shared" ref="B3485:B3492" si="259">"31084"</f>
        <v>31084</v>
      </c>
      <c r="C3485" s="1" t="str">
        <f>"GARDENA"</f>
        <v>GARDENA</v>
      </c>
      <c r="D3485" s="1" t="str">
        <f t="shared" ref="D3485:D3497" si="260">"CA"</f>
        <v>CA</v>
      </c>
      <c r="E3485" s="2">
        <v>1</v>
      </c>
      <c r="F3485" s="2">
        <v>1</v>
      </c>
      <c r="G3485" s="2">
        <v>1</v>
      </c>
      <c r="H3485" s="2">
        <v>1</v>
      </c>
    </row>
    <row r="3486" spans="1:8" x14ac:dyDescent="0.25">
      <c r="A3486" s="1" t="str">
        <f>"90011"</f>
        <v>90011</v>
      </c>
      <c r="B3486" s="1" t="str">
        <f t="shared" si="259"/>
        <v>31084</v>
      </c>
      <c r="C3486" s="1" t="str">
        <f>"LOS ANGELES"</f>
        <v>LOS ANGELES</v>
      </c>
      <c r="D3486" s="1" t="str">
        <f t="shared" si="260"/>
        <v>CA</v>
      </c>
      <c r="E3486" s="2">
        <v>1</v>
      </c>
      <c r="F3486" s="2">
        <v>1</v>
      </c>
      <c r="G3486" s="2">
        <v>1</v>
      </c>
      <c r="H3486" s="2">
        <v>1</v>
      </c>
    </row>
    <row r="3487" spans="1:8" x14ac:dyDescent="0.25">
      <c r="A3487" s="1" t="str">
        <f>"90296"</f>
        <v>90296</v>
      </c>
      <c r="B3487" s="1" t="str">
        <f t="shared" si="259"/>
        <v>31084</v>
      </c>
      <c r="C3487" s="1" t="str">
        <f>"PLAYA DEL REY"</f>
        <v>PLAYA DEL REY</v>
      </c>
      <c r="D3487" s="1" t="str">
        <f t="shared" si="260"/>
        <v>CA</v>
      </c>
      <c r="E3487" s="2">
        <v>1</v>
      </c>
      <c r="F3487" s="2">
        <v>1</v>
      </c>
      <c r="G3487" s="2">
        <v>1</v>
      </c>
      <c r="H3487" s="2">
        <v>1</v>
      </c>
    </row>
    <row r="3488" spans="1:8" x14ac:dyDescent="0.25">
      <c r="A3488" s="1" t="str">
        <f>"91321"</f>
        <v>91321</v>
      </c>
      <c r="B3488" s="1" t="str">
        <f t="shared" si="259"/>
        <v>31084</v>
      </c>
      <c r="C3488" s="1" t="str">
        <f>"NEWHALL"</f>
        <v>NEWHALL</v>
      </c>
      <c r="D3488" s="1" t="str">
        <f t="shared" si="260"/>
        <v>CA</v>
      </c>
      <c r="E3488" s="2">
        <v>1</v>
      </c>
      <c r="F3488" s="2">
        <v>1</v>
      </c>
      <c r="G3488" s="2">
        <v>1</v>
      </c>
      <c r="H3488" s="2">
        <v>1</v>
      </c>
    </row>
    <row r="3489" spans="1:8" x14ac:dyDescent="0.25">
      <c r="A3489" s="1" t="str">
        <f>"90732"</f>
        <v>90732</v>
      </c>
      <c r="B3489" s="1" t="str">
        <f t="shared" si="259"/>
        <v>31084</v>
      </c>
      <c r="C3489" s="1" t="str">
        <f>"SAN PEDRO"</f>
        <v>SAN PEDRO</v>
      </c>
      <c r="D3489" s="1" t="str">
        <f t="shared" si="260"/>
        <v>CA</v>
      </c>
      <c r="E3489" s="2">
        <v>1</v>
      </c>
      <c r="F3489" s="2">
        <v>1</v>
      </c>
      <c r="G3489" s="2">
        <v>1</v>
      </c>
      <c r="H3489" s="2">
        <v>1</v>
      </c>
    </row>
    <row r="3490" spans="1:8" x14ac:dyDescent="0.25">
      <c r="A3490" s="1" t="str">
        <f>"90745"</f>
        <v>90745</v>
      </c>
      <c r="B3490" s="1" t="str">
        <f t="shared" si="259"/>
        <v>31084</v>
      </c>
      <c r="C3490" s="1" t="str">
        <f>"CARSON"</f>
        <v>CARSON</v>
      </c>
      <c r="D3490" s="1" t="str">
        <f t="shared" si="260"/>
        <v>CA</v>
      </c>
      <c r="E3490" s="2">
        <v>1</v>
      </c>
      <c r="F3490" s="2">
        <v>1</v>
      </c>
      <c r="G3490" s="2">
        <v>1</v>
      </c>
      <c r="H3490" s="2">
        <v>1</v>
      </c>
    </row>
    <row r="3491" spans="1:8" x14ac:dyDescent="0.25">
      <c r="A3491" s="1" t="str">
        <f>"91790"</f>
        <v>91790</v>
      </c>
      <c r="B3491" s="1" t="str">
        <f t="shared" si="259"/>
        <v>31084</v>
      </c>
      <c r="C3491" s="1" t="str">
        <f>"WEST COVINA"</f>
        <v>WEST COVINA</v>
      </c>
      <c r="D3491" s="1" t="str">
        <f t="shared" si="260"/>
        <v>CA</v>
      </c>
      <c r="E3491" s="2">
        <v>1</v>
      </c>
      <c r="F3491" s="2">
        <v>1</v>
      </c>
      <c r="G3491" s="2">
        <v>1</v>
      </c>
      <c r="H3491" s="2">
        <v>1</v>
      </c>
    </row>
    <row r="3492" spans="1:8" x14ac:dyDescent="0.25">
      <c r="A3492" s="1" t="str">
        <f>"91702"</f>
        <v>91702</v>
      </c>
      <c r="B3492" s="1" t="str">
        <f t="shared" si="259"/>
        <v>31084</v>
      </c>
      <c r="C3492" s="1" t="str">
        <f>"AZUSA"</f>
        <v>AZUSA</v>
      </c>
      <c r="D3492" s="1" t="str">
        <f t="shared" si="260"/>
        <v>CA</v>
      </c>
      <c r="E3492" s="2">
        <v>1</v>
      </c>
      <c r="F3492" s="2">
        <v>1</v>
      </c>
      <c r="G3492" s="2">
        <v>1</v>
      </c>
      <c r="H3492" s="2">
        <v>1</v>
      </c>
    </row>
    <row r="3493" spans="1:8" x14ac:dyDescent="0.25">
      <c r="A3493" s="1" t="str">
        <f>"92843"</f>
        <v>92843</v>
      </c>
      <c r="B3493" s="1" t="str">
        <f>"11244"</f>
        <v>11244</v>
      </c>
      <c r="C3493" s="1" t="str">
        <f>"GARDEN GROVE"</f>
        <v>GARDEN GROVE</v>
      </c>
      <c r="D3493" s="1" t="str">
        <f t="shared" si="260"/>
        <v>CA</v>
      </c>
      <c r="E3493" s="2">
        <v>1</v>
      </c>
      <c r="F3493" s="2">
        <v>1</v>
      </c>
      <c r="G3493" s="2">
        <v>1</v>
      </c>
      <c r="H3493" s="2">
        <v>1</v>
      </c>
    </row>
    <row r="3494" spans="1:8" x14ac:dyDescent="0.25">
      <c r="A3494" s="1" t="str">
        <f>"92887"</f>
        <v>92887</v>
      </c>
      <c r="B3494" s="1" t="str">
        <f>"11244"</f>
        <v>11244</v>
      </c>
      <c r="C3494" s="1" t="str">
        <f>"YORBA LINDA"</f>
        <v>YORBA LINDA</v>
      </c>
      <c r="D3494" s="1" t="str">
        <f t="shared" si="260"/>
        <v>CA</v>
      </c>
      <c r="E3494" s="2">
        <v>1</v>
      </c>
      <c r="F3494" s="2">
        <v>1</v>
      </c>
      <c r="G3494" s="2">
        <v>1</v>
      </c>
      <c r="H3494" s="2">
        <v>1</v>
      </c>
    </row>
    <row r="3495" spans="1:8" x14ac:dyDescent="0.25">
      <c r="A3495" s="1" t="str">
        <f>"92627"</f>
        <v>92627</v>
      </c>
      <c r="B3495" s="1" t="str">
        <f>"11244"</f>
        <v>11244</v>
      </c>
      <c r="C3495" s="1" t="str">
        <f>"COSTA MESA"</f>
        <v>COSTA MESA</v>
      </c>
      <c r="D3495" s="1" t="str">
        <f t="shared" si="260"/>
        <v>CA</v>
      </c>
      <c r="E3495" s="2">
        <v>1</v>
      </c>
      <c r="F3495" s="2">
        <v>1</v>
      </c>
      <c r="G3495" s="2">
        <v>1</v>
      </c>
      <c r="H3495" s="2">
        <v>1</v>
      </c>
    </row>
    <row r="3496" spans="1:8" x14ac:dyDescent="0.25">
      <c r="A3496" s="1" t="str">
        <f>"94112"</f>
        <v>94112</v>
      </c>
      <c r="B3496" s="1" t="str">
        <f>"41884"</f>
        <v>41884</v>
      </c>
      <c r="C3496" s="1" t="str">
        <f>"SAN FRANCISCO"</f>
        <v>SAN FRANCISCO</v>
      </c>
      <c r="D3496" s="1" t="str">
        <f t="shared" si="260"/>
        <v>CA</v>
      </c>
      <c r="E3496" s="2">
        <v>1</v>
      </c>
      <c r="F3496" s="2">
        <v>1</v>
      </c>
      <c r="G3496" s="2">
        <v>1</v>
      </c>
      <c r="H3496" s="2">
        <v>1</v>
      </c>
    </row>
    <row r="3497" spans="1:8" x14ac:dyDescent="0.25">
      <c r="A3497" s="1" t="str">
        <f>"94547"</f>
        <v>94547</v>
      </c>
      <c r="B3497" s="1" t="str">
        <f>"36084"</f>
        <v>36084</v>
      </c>
      <c r="C3497" s="1" t="str">
        <f>"HERCULES"</f>
        <v>HERCULES</v>
      </c>
      <c r="D3497" s="1" t="str">
        <f t="shared" si="260"/>
        <v>CA</v>
      </c>
      <c r="E3497" s="2">
        <v>1</v>
      </c>
      <c r="F3497" s="2">
        <v>1</v>
      </c>
      <c r="G3497" s="2">
        <v>1</v>
      </c>
      <c r="H3497" s="2">
        <v>1</v>
      </c>
    </row>
    <row r="3498" spans="1:8" x14ac:dyDescent="0.25">
      <c r="A3498" s="1" t="str">
        <f>"98014"</f>
        <v>98014</v>
      </c>
      <c r="B3498" s="1" t="str">
        <f>"42644"</f>
        <v>42644</v>
      </c>
      <c r="C3498" s="1" t="str">
        <f>"CARNATION"</f>
        <v>CARNATION</v>
      </c>
      <c r="D3498" s="1" t="str">
        <f>"WA"</f>
        <v>WA</v>
      </c>
      <c r="E3498" s="2">
        <v>1</v>
      </c>
      <c r="F3498" s="2">
        <v>1</v>
      </c>
      <c r="G3498" s="2">
        <v>1</v>
      </c>
      <c r="H3498" s="2">
        <v>1</v>
      </c>
    </row>
    <row r="3499" spans="1:8" x14ac:dyDescent="0.25">
      <c r="A3499" s="1" t="str">
        <f>"98040"</f>
        <v>98040</v>
      </c>
      <c r="B3499" s="1" t="str">
        <f>"42644"</f>
        <v>42644</v>
      </c>
      <c r="C3499" s="1" t="str">
        <f>"MERCER ISLAND"</f>
        <v>MERCER ISLAND</v>
      </c>
      <c r="D3499" s="1" t="str">
        <f>"WA"</f>
        <v>WA</v>
      </c>
      <c r="E3499" s="2">
        <v>1</v>
      </c>
      <c r="F3499" s="2">
        <v>1</v>
      </c>
      <c r="G3499" s="2">
        <v>1</v>
      </c>
      <c r="H3499" s="2">
        <v>1</v>
      </c>
    </row>
    <row r="3500" spans="1:8" x14ac:dyDescent="0.25">
      <c r="A3500" s="1" t="str">
        <f>"98373"</f>
        <v>98373</v>
      </c>
      <c r="B3500" s="1" t="str">
        <f>"45104"</f>
        <v>45104</v>
      </c>
      <c r="C3500" s="1" t="str">
        <f>"PUYALLUP"</f>
        <v>PUYALLUP</v>
      </c>
      <c r="D3500" s="1" t="str">
        <f>"WA"</f>
        <v>WA</v>
      </c>
      <c r="E3500" s="2">
        <v>1</v>
      </c>
      <c r="F3500" s="2">
        <v>1</v>
      </c>
      <c r="G3500" s="2">
        <v>1</v>
      </c>
      <c r="H3500" s="2">
        <v>1</v>
      </c>
    </row>
    <row r="3501" spans="1:8" x14ac:dyDescent="0.25">
      <c r="A3501" s="1" t="str">
        <f>"07091"</f>
        <v>07091</v>
      </c>
      <c r="B3501" s="1" t="str">
        <f>"35084"</f>
        <v>35084</v>
      </c>
      <c r="C3501" s="1" t="str">
        <f>"WESTFIELD"</f>
        <v>WESTFIELD</v>
      </c>
      <c r="D3501" s="1" t="str">
        <f>"NJ"</f>
        <v>NJ</v>
      </c>
      <c r="E3501" s="2">
        <v>1</v>
      </c>
      <c r="F3501" s="2">
        <v>1</v>
      </c>
      <c r="G3501" s="2">
        <v>1</v>
      </c>
      <c r="H3501" s="2">
        <v>1</v>
      </c>
    </row>
    <row r="3502" spans="1:8" x14ac:dyDescent="0.25">
      <c r="A3502" s="1" t="str">
        <f>"10548"</f>
        <v>10548</v>
      </c>
      <c r="B3502" s="1" t="str">
        <f>"35614"</f>
        <v>35614</v>
      </c>
      <c r="C3502" s="1" t="str">
        <f>"MONTROSE"</f>
        <v>MONTROSE</v>
      </c>
      <c r="D3502" s="1" t="str">
        <f>"NY"</f>
        <v>NY</v>
      </c>
      <c r="E3502" s="2">
        <v>1</v>
      </c>
      <c r="F3502" s="2">
        <v>1</v>
      </c>
      <c r="G3502" s="2">
        <v>1</v>
      </c>
      <c r="H3502" s="2">
        <v>1</v>
      </c>
    </row>
    <row r="3503" spans="1:8" x14ac:dyDescent="0.25">
      <c r="A3503" s="1" t="str">
        <f>"20907"</f>
        <v>20907</v>
      </c>
      <c r="B3503" s="1" t="str">
        <f>"23224"</f>
        <v>23224</v>
      </c>
      <c r="C3503" s="1" t="str">
        <f>"SILVER SPRING"</f>
        <v>SILVER SPRING</v>
      </c>
      <c r="D3503" s="1" t="str">
        <f>"MD"</f>
        <v>MD</v>
      </c>
      <c r="E3503" s="2">
        <v>1</v>
      </c>
      <c r="F3503" s="2">
        <v>1</v>
      </c>
      <c r="G3503" s="2">
        <v>1</v>
      </c>
      <c r="H3503" s="2">
        <v>1</v>
      </c>
    </row>
    <row r="3504" spans="1:8" x14ac:dyDescent="0.25">
      <c r="A3504" s="1" t="str">
        <f>"33116"</f>
        <v>33116</v>
      </c>
      <c r="B3504" s="1" t="str">
        <f>"33124"</f>
        <v>33124</v>
      </c>
      <c r="C3504" s="1" t="str">
        <f>"MIAMI"</f>
        <v>MIAMI</v>
      </c>
      <c r="D3504" s="1" t="str">
        <f>"FL"</f>
        <v>FL</v>
      </c>
      <c r="E3504" s="2">
        <v>1</v>
      </c>
      <c r="F3504" s="2">
        <v>1</v>
      </c>
      <c r="G3504" s="2">
        <v>1</v>
      </c>
      <c r="H3504" s="2">
        <v>1</v>
      </c>
    </row>
    <row r="3505" spans="1:8" x14ac:dyDescent="0.25">
      <c r="A3505" s="1" t="str">
        <f>"48356"</f>
        <v>48356</v>
      </c>
      <c r="B3505" s="1" t="str">
        <f>"47664"</f>
        <v>47664</v>
      </c>
      <c r="C3505" s="1" t="str">
        <f>"HIGHLAND"</f>
        <v>HIGHLAND</v>
      </c>
      <c r="D3505" s="1" t="str">
        <f>"MI"</f>
        <v>MI</v>
      </c>
      <c r="E3505" s="2">
        <v>1</v>
      </c>
      <c r="F3505" s="2">
        <v>1</v>
      </c>
      <c r="G3505" s="2">
        <v>1</v>
      </c>
      <c r="H3505" s="2">
        <v>1</v>
      </c>
    </row>
    <row r="3506" spans="1:8" x14ac:dyDescent="0.25">
      <c r="A3506" s="1" t="str">
        <f>"60138"</f>
        <v>60138</v>
      </c>
      <c r="B3506" s="1" t="str">
        <f>"16984"</f>
        <v>16984</v>
      </c>
      <c r="C3506" s="1" t="str">
        <f>"GLEN ELLYN"</f>
        <v>GLEN ELLYN</v>
      </c>
      <c r="D3506" s="1" t="str">
        <f>"IL"</f>
        <v>IL</v>
      </c>
      <c r="E3506" s="2">
        <v>1</v>
      </c>
      <c r="F3506" s="2">
        <v>1</v>
      </c>
      <c r="G3506" s="2">
        <v>1</v>
      </c>
      <c r="H3506" s="2">
        <v>1</v>
      </c>
    </row>
    <row r="3507" spans="1:8" x14ac:dyDescent="0.25">
      <c r="A3507" s="1" t="str">
        <f>"75014"</f>
        <v>75014</v>
      </c>
      <c r="B3507" s="1" t="str">
        <f>"19124"</f>
        <v>19124</v>
      </c>
      <c r="C3507" s="1" t="str">
        <f>"IRVING"</f>
        <v>IRVING</v>
      </c>
      <c r="D3507" s="1" t="str">
        <f>"TX"</f>
        <v>TX</v>
      </c>
      <c r="E3507" s="2">
        <v>1</v>
      </c>
      <c r="F3507" s="2">
        <v>1</v>
      </c>
      <c r="G3507" s="2">
        <v>1</v>
      </c>
      <c r="H3507" s="2">
        <v>1</v>
      </c>
    </row>
    <row r="3508" spans="1:8" x14ac:dyDescent="0.25">
      <c r="A3508" s="1" t="str">
        <f>"91337"</f>
        <v>91337</v>
      </c>
      <c r="B3508" s="1" t="str">
        <f>"31084"</f>
        <v>31084</v>
      </c>
      <c r="C3508" s="1" t="str">
        <f>"RESEDA"</f>
        <v>RESEDA</v>
      </c>
      <c r="D3508" s="1" t="str">
        <f>"CA"</f>
        <v>CA</v>
      </c>
      <c r="E3508" s="2">
        <v>1</v>
      </c>
      <c r="F3508" s="2">
        <v>1</v>
      </c>
      <c r="G3508" s="2">
        <v>1</v>
      </c>
      <c r="H3508" s="2">
        <v>1</v>
      </c>
    </row>
    <row r="3509" spans="1:8" x14ac:dyDescent="0.25">
      <c r="A3509" s="1" t="str">
        <f>"91225"</f>
        <v>91225</v>
      </c>
      <c r="B3509" s="1" t="str">
        <f>"31084"</f>
        <v>31084</v>
      </c>
      <c r="C3509" s="1" t="str">
        <f>"GLENDALE"</f>
        <v>GLENDALE</v>
      </c>
      <c r="D3509" s="1" t="str">
        <f>"CA"</f>
        <v>CA</v>
      </c>
      <c r="E3509" s="2">
        <v>1</v>
      </c>
      <c r="F3509" s="2">
        <v>1</v>
      </c>
      <c r="G3509" s="2">
        <v>1</v>
      </c>
      <c r="H3509" s="2">
        <v>1</v>
      </c>
    </row>
    <row r="3510" spans="1:8" x14ac:dyDescent="0.25">
      <c r="A3510" s="1" t="str">
        <f>"33355"</f>
        <v>33355</v>
      </c>
      <c r="B3510" s="1" t="str">
        <f>"22744"</f>
        <v>22744</v>
      </c>
      <c r="C3510" s="1" t="str">
        <f>"FORT LAUDERDALE"</f>
        <v>FORT LAUDERDALE</v>
      </c>
      <c r="D3510" s="1" t="str">
        <f>"FL"</f>
        <v>FL</v>
      </c>
      <c r="E3510" s="2">
        <v>1</v>
      </c>
      <c r="F3510" s="2">
        <v>1</v>
      </c>
      <c r="G3510" s="2">
        <v>1</v>
      </c>
      <c r="H3510" s="2">
        <v>1</v>
      </c>
    </row>
    <row r="3511" spans="1:8" x14ac:dyDescent="0.25">
      <c r="A3511" s="1" t="str">
        <f>"91341"</f>
        <v>91341</v>
      </c>
      <c r="B3511" s="1" t="str">
        <f>"31084"</f>
        <v>31084</v>
      </c>
      <c r="C3511" s="1" t="str">
        <f>"SAN FERNANDO"</f>
        <v>SAN FERNANDO</v>
      </c>
      <c r="D3511" s="1" t="str">
        <f>"CA"</f>
        <v>CA</v>
      </c>
      <c r="E3511" s="2">
        <v>1</v>
      </c>
      <c r="F3511" s="2">
        <v>1</v>
      </c>
      <c r="G3511" s="2">
        <v>1</v>
      </c>
      <c r="H3511" s="2">
        <v>1</v>
      </c>
    </row>
    <row r="3512" spans="1:8" x14ac:dyDescent="0.25">
      <c r="A3512" s="1" t="str">
        <f>"94126"</f>
        <v>94126</v>
      </c>
      <c r="B3512" s="1" t="str">
        <f>"41884"</f>
        <v>41884</v>
      </c>
      <c r="C3512" s="1" t="str">
        <f>"SAN FRANCISCO"</f>
        <v>SAN FRANCISCO</v>
      </c>
      <c r="D3512" s="1" t="str">
        <f>"CA"</f>
        <v>CA</v>
      </c>
      <c r="E3512" s="2">
        <v>1</v>
      </c>
      <c r="F3512" s="2">
        <v>1</v>
      </c>
      <c r="G3512" s="2">
        <v>1</v>
      </c>
      <c r="H3512" s="2">
        <v>1</v>
      </c>
    </row>
    <row r="3513" spans="1:8" x14ac:dyDescent="0.25">
      <c r="A3513" s="1" t="str">
        <f>"18970"</f>
        <v>18970</v>
      </c>
      <c r="B3513" s="1" t="str">
        <f>"33874"</f>
        <v>33874</v>
      </c>
      <c r="C3513" s="1" t="str">
        <f>"TRUMBAUERSVILLE"</f>
        <v>TRUMBAUERSVILLE</v>
      </c>
      <c r="D3513" s="1" t="str">
        <f>"PA"</f>
        <v>PA</v>
      </c>
      <c r="E3513" s="2">
        <v>1</v>
      </c>
      <c r="F3513" s="2">
        <v>1</v>
      </c>
      <c r="G3513" s="2">
        <v>1</v>
      </c>
      <c r="H3513" s="2">
        <v>1</v>
      </c>
    </row>
    <row r="3514" spans="1:8" x14ac:dyDescent="0.25">
      <c r="A3514" s="1" t="str">
        <f>"20301"</f>
        <v>20301</v>
      </c>
      <c r="B3514" s="1" t="str">
        <f>"47894"</f>
        <v>47894</v>
      </c>
      <c r="C3514" s="1" t="str">
        <f>"WASHINGTON"</f>
        <v>WASHINGTON</v>
      </c>
      <c r="D3514" s="1" t="str">
        <f>"DC"</f>
        <v>DC</v>
      </c>
      <c r="E3514" s="2">
        <v>0</v>
      </c>
      <c r="F3514" s="2">
        <v>1</v>
      </c>
      <c r="G3514" s="2">
        <v>1</v>
      </c>
      <c r="H3514" s="2">
        <v>1</v>
      </c>
    </row>
    <row r="3515" spans="1:8" x14ac:dyDescent="0.25">
      <c r="A3515" s="1" t="str">
        <f>"20839"</f>
        <v>20839</v>
      </c>
      <c r="B3515" s="1" t="str">
        <f>"23224"</f>
        <v>23224</v>
      </c>
      <c r="C3515" s="1" t="str">
        <f>"BEALLSVILLE"</f>
        <v>BEALLSVILLE</v>
      </c>
      <c r="D3515" s="1" t="str">
        <f>"MD"</f>
        <v>MD</v>
      </c>
      <c r="E3515" s="2">
        <v>1</v>
      </c>
      <c r="F3515" s="2">
        <v>1</v>
      </c>
      <c r="G3515" s="2">
        <v>1</v>
      </c>
      <c r="H3515" s="2">
        <v>1</v>
      </c>
    </row>
    <row r="3516" spans="1:8" x14ac:dyDescent="0.25">
      <c r="A3516" s="1" t="str">
        <f>"76003"</f>
        <v>76003</v>
      </c>
      <c r="B3516" s="1" t="str">
        <f>"23104"</f>
        <v>23104</v>
      </c>
      <c r="C3516" s="1" t="str">
        <f>"ARLINGTON"</f>
        <v>ARLINGTON</v>
      </c>
      <c r="D3516" s="1" t="str">
        <f>"TX"</f>
        <v>TX</v>
      </c>
      <c r="E3516" s="2">
        <v>1</v>
      </c>
      <c r="F3516" s="2">
        <v>1</v>
      </c>
      <c r="G3516" s="2">
        <v>1</v>
      </c>
      <c r="H3516" s="2">
        <v>1</v>
      </c>
    </row>
    <row r="3517" spans="1:8" x14ac:dyDescent="0.25">
      <c r="A3517" s="1" t="str">
        <f>"91503"</f>
        <v>91503</v>
      </c>
      <c r="B3517" s="1" t="str">
        <f>"31084"</f>
        <v>31084</v>
      </c>
      <c r="C3517" s="1" t="str">
        <f>"BURBANK"</f>
        <v>BURBANK</v>
      </c>
      <c r="D3517" s="1" t="str">
        <f>"CA"</f>
        <v>CA</v>
      </c>
      <c r="E3517" s="2">
        <v>1</v>
      </c>
      <c r="F3517" s="2">
        <v>1</v>
      </c>
      <c r="G3517" s="2">
        <v>1</v>
      </c>
      <c r="H3517" s="2">
        <v>1</v>
      </c>
    </row>
    <row r="3518" spans="1:8" x14ac:dyDescent="0.25">
      <c r="A3518" s="1" t="str">
        <f>"02071"</f>
        <v>02071</v>
      </c>
      <c r="B3518" s="1" t="str">
        <f>"14454"</f>
        <v>14454</v>
      </c>
      <c r="C3518" s="1" t="str">
        <f>"SOUTH WALPOLE"</f>
        <v>SOUTH WALPOLE</v>
      </c>
      <c r="D3518" s="1" t="str">
        <f>"MA"</f>
        <v>MA</v>
      </c>
      <c r="E3518" s="2">
        <v>1</v>
      </c>
      <c r="F3518" s="2">
        <v>1</v>
      </c>
      <c r="G3518" s="2">
        <v>1</v>
      </c>
      <c r="H3518" s="2">
        <v>1</v>
      </c>
    </row>
    <row r="3519" spans="1:8" x14ac:dyDescent="0.25">
      <c r="A3519" s="1" t="str">
        <f>"02123"</f>
        <v>02123</v>
      </c>
      <c r="B3519" s="1" t="str">
        <f>"14454"</f>
        <v>14454</v>
      </c>
      <c r="C3519" s="1" t="str">
        <f>"BOSTON"</f>
        <v>BOSTON</v>
      </c>
      <c r="D3519" s="1" t="str">
        <f>"MA"</f>
        <v>MA</v>
      </c>
      <c r="E3519" s="2">
        <v>1</v>
      </c>
      <c r="F3519" s="2">
        <v>1</v>
      </c>
      <c r="G3519" s="2">
        <v>1</v>
      </c>
      <c r="H3519" s="2">
        <v>1</v>
      </c>
    </row>
    <row r="3520" spans="1:8" x14ac:dyDescent="0.25">
      <c r="A3520" s="1" t="str">
        <f>"19715"</f>
        <v>19715</v>
      </c>
      <c r="B3520" s="1" t="str">
        <f>"48864"</f>
        <v>48864</v>
      </c>
      <c r="C3520" s="1" t="str">
        <f>"NEWARK"</f>
        <v>NEWARK</v>
      </c>
      <c r="D3520" s="1" t="str">
        <f>"DE"</f>
        <v>DE</v>
      </c>
      <c r="E3520" s="2">
        <v>1</v>
      </c>
      <c r="F3520" s="2">
        <v>1</v>
      </c>
      <c r="G3520" s="2">
        <v>1</v>
      </c>
      <c r="H3520" s="2">
        <v>1</v>
      </c>
    </row>
    <row r="3521" spans="1:8" x14ac:dyDescent="0.25">
      <c r="A3521" s="1" t="str">
        <f>"20229"</f>
        <v>20229</v>
      </c>
      <c r="B3521" s="1" t="str">
        <f>"47894"</f>
        <v>47894</v>
      </c>
      <c r="C3521" s="1" t="str">
        <f>"WASHINGTON"</f>
        <v>WASHINGTON</v>
      </c>
      <c r="D3521" s="1" t="str">
        <f>"DC"</f>
        <v>DC</v>
      </c>
      <c r="E3521" s="2">
        <v>0</v>
      </c>
      <c r="F3521" s="2">
        <v>1</v>
      </c>
      <c r="G3521" s="2">
        <v>1</v>
      </c>
      <c r="H3521" s="2">
        <v>1</v>
      </c>
    </row>
    <row r="3522" spans="1:8" x14ac:dyDescent="0.25">
      <c r="A3522" s="1" t="str">
        <f>"90223"</f>
        <v>90223</v>
      </c>
      <c r="B3522" s="1" t="str">
        <f>"31084"</f>
        <v>31084</v>
      </c>
      <c r="C3522" s="1" t="str">
        <f>"COMPTON"</f>
        <v>COMPTON</v>
      </c>
      <c r="D3522" s="1" t="str">
        <f>"CA"</f>
        <v>CA</v>
      </c>
      <c r="E3522" s="2">
        <v>1</v>
      </c>
      <c r="F3522" s="2">
        <v>1</v>
      </c>
      <c r="G3522" s="2">
        <v>1</v>
      </c>
      <c r="H3522" s="2">
        <v>1</v>
      </c>
    </row>
    <row r="3523" spans="1:8" x14ac:dyDescent="0.25">
      <c r="A3523" s="1" t="str">
        <f>"60499"</f>
        <v>60499</v>
      </c>
      <c r="B3523" s="1" t="str">
        <f>"16984"</f>
        <v>16984</v>
      </c>
      <c r="C3523" s="1" t="str">
        <f>"BEDFORD PARK"</f>
        <v>BEDFORD PARK</v>
      </c>
      <c r="D3523" s="1" t="str">
        <f>"IL"</f>
        <v>IL</v>
      </c>
      <c r="E3523" s="2">
        <v>1</v>
      </c>
      <c r="F3523" s="2">
        <v>1</v>
      </c>
      <c r="G3523" s="2">
        <v>1</v>
      </c>
      <c r="H3523" s="2">
        <v>1</v>
      </c>
    </row>
    <row r="3524" spans="1:8" x14ac:dyDescent="0.25">
      <c r="A3524" s="1" t="str">
        <f>"20027"</f>
        <v>20027</v>
      </c>
      <c r="B3524" s="1" t="str">
        <f>"47894"</f>
        <v>47894</v>
      </c>
      <c r="C3524" s="1" t="str">
        <f>"WASHINGTON"</f>
        <v>WASHINGTON</v>
      </c>
      <c r="D3524" s="1" t="str">
        <f>"DC"</f>
        <v>DC</v>
      </c>
      <c r="E3524" s="2">
        <v>1</v>
      </c>
      <c r="F3524" s="2">
        <v>1</v>
      </c>
      <c r="G3524" s="2">
        <v>1</v>
      </c>
      <c r="H3524" s="2">
        <v>1</v>
      </c>
    </row>
    <row r="3525" spans="1:8" x14ac:dyDescent="0.25">
      <c r="A3525" s="1" t="str">
        <f>"11351"</f>
        <v>11351</v>
      </c>
      <c r="B3525" s="1" t="str">
        <f>"35614"</f>
        <v>35614</v>
      </c>
      <c r="C3525" s="1" t="str">
        <f>"FLUSHING"</f>
        <v>FLUSHING</v>
      </c>
      <c r="D3525" s="1" t="str">
        <f>"NY"</f>
        <v>NY</v>
      </c>
      <c r="E3525" s="2">
        <v>0</v>
      </c>
      <c r="F3525" s="2">
        <v>1</v>
      </c>
      <c r="G3525" s="2">
        <v>1</v>
      </c>
      <c r="H3525" s="2">
        <v>1</v>
      </c>
    </row>
    <row r="3526" spans="1:8" x14ac:dyDescent="0.25">
      <c r="A3526" s="1" t="str">
        <f>"20076"</f>
        <v>20076</v>
      </c>
      <c r="B3526" s="1" t="str">
        <f>"47894"</f>
        <v>47894</v>
      </c>
      <c r="C3526" s="1" t="str">
        <f>"WASHINGTON"</f>
        <v>WASHINGTON</v>
      </c>
      <c r="D3526" s="1" t="str">
        <f>"DC"</f>
        <v>DC</v>
      </c>
      <c r="E3526" s="2">
        <v>0</v>
      </c>
      <c r="F3526" s="2">
        <v>1</v>
      </c>
      <c r="G3526" s="2">
        <v>1</v>
      </c>
      <c r="H3526" s="2">
        <v>1</v>
      </c>
    </row>
    <row r="3527" spans="1:8" x14ac:dyDescent="0.25">
      <c r="A3527" s="1" t="str">
        <f>"19721"</f>
        <v>19721</v>
      </c>
      <c r="B3527" s="1" t="str">
        <f>"48864"</f>
        <v>48864</v>
      </c>
      <c r="C3527" s="1" t="str">
        <f>"NEW CASTLE"</f>
        <v>NEW CASTLE</v>
      </c>
      <c r="D3527" s="1" t="str">
        <f>"DE"</f>
        <v>DE</v>
      </c>
      <c r="E3527" s="2">
        <v>0</v>
      </c>
      <c r="F3527" s="2">
        <v>0</v>
      </c>
      <c r="G3527" s="2">
        <v>1</v>
      </c>
      <c r="H3527" s="2">
        <v>1</v>
      </c>
    </row>
    <row r="3528" spans="1:8" x14ac:dyDescent="0.25">
      <c r="A3528" s="1" t="str">
        <f>"18962"</f>
        <v>18962</v>
      </c>
      <c r="B3528" s="1" t="str">
        <f>"33874"</f>
        <v>33874</v>
      </c>
      <c r="C3528" s="1" t="str">
        <f>"SILVERDALE"</f>
        <v>SILVERDALE</v>
      </c>
      <c r="D3528" s="1" t="str">
        <f>"PA"</f>
        <v>PA</v>
      </c>
      <c r="E3528" s="2">
        <v>1</v>
      </c>
      <c r="F3528" s="2">
        <v>1</v>
      </c>
      <c r="G3528" s="2">
        <v>1</v>
      </c>
      <c r="H3528" s="2">
        <v>1</v>
      </c>
    </row>
    <row r="3529" spans="1:8" x14ac:dyDescent="0.25">
      <c r="A3529" s="1" t="str">
        <f>"08504"</f>
        <v>08504</v>
      </c>
      <c r="B3529" s="1" t="str">
        <f>"35154"</f>
        <v>35154</v>
      </c>
      <c r="C3529" s="1" t="str">
        <f>"BLAWENBURG"</f>
        <v>BLAWENBURG</v>
      </c>
      <c r="D3529" s="1" t="str">
        <f>"NJ"</f>
        <v>NJ</v>
      </c>
      <c r="E3529" s="2">
        <v>0</v>
      </c>
      <c r="F3529" s="2">
        <v>0</v>
      </c>
      <c r="G3529" s="2">
        <v>1</v>
      </c>
      <c r="H3529" s="2">
        <v>1</v>
      </c>
    </row>
    <row r="3530" spans="1:8" x14ac:dyDescent="0.25">
      <c r="A3530" s="1" t="str">
        <f>"93243"</f>
        <v>93243</v>
      </c>
      <c r="B3530" s="1" t="str">
        <f>"31084"</f>
        <v>31084</v>
      </c>
      <c r="C3530" s="1" t="str">
        <f>"LEBEC"</f>
        <v>LEBEC</v>
      </c>
      <c r="D3530" s="1" t="str">
        <f>"CA"</f>
        <v>CA</v>
      </c>
      <c r="E3530" s="2">
        <v>1</v>
      </c>
      <c r="F3530" s="2">
        <v>1</v>
      </c>
      <c r="G3530" s="2">
        <v>1</v>
      </c>
      <c r="H3530" s="2">
        <v>1</v>
      </c>
    </row>
    <row r="3531" spans="1:8" x14ac:dyDescent="0.25">
      <c r="A3531" s="1" t="str">
        <f>"94017"</f>
        <v>94017</v>
      </c>
      <c r="B3531" s="1" t="str">
        <f>"41884"</f>
        <v>41884</v>
      </c>
      <c r="C3531" s="1" t="str">
        <f>"DALY CITY"</f>
        <v>DALY CITY</v>
      </c>
      <c r="D3531" s="1" t="str">
        <f>"CA"</f>
        <v>CA</v>
      </c>
      <c r="E3531" s="2">
        <v>1</v>
      </c>
      <c r="F3531" s="2">
        <v>1</v>
      </c>
      <c r="G3531" s="2">
        <v>1</v>
      </c>
      <c r="H3531" s="2">
        <v>1</v>
      </c>
    </row>
    <row r="3532" spans="1:8" x14ac:dyDescent="0.25">
      <c r="A3532" s="1" t="str">
        <f>"20566"</f>
        <v>20566</v>
      </c>
      <c r="B3532" s="1" t="str">
        <f>"47894"</f>
        <v>47894</v>
      </c>
      <c r="C3532" s="1" t="str">
        <f>"WASHINGTON"</f>
        <v>WASHINGTON</v>
      </c>
      <c r="D3532" s="1" t="str">
        <f>"DC"</f>
        <v>DC</v>
      </c>
      <c r="E3532" s="2">
        <v>0</v>
      </c>
      <c r="F3532" s="2">
        <v>1</v>
      </c>
      <c r="G3532" s="2">
        <v>0</v>
      </c>
      <c r="H3532" s="2">
        <v>1</v>
      </c>
    </row>
    <row r="3533" spans="1:8" x14ac:dyDescent="0.25">
      <c r="A3533" s="1" t="str">
        <f>"19421"</f>
        <v>19421</v>
      </c>
      <c r="B3533" s="1" t="str">
        <f>"33874"</f>
        <v>33874</v>
      </c>
      <c r="C3533" s="1" t="str">
        <f>"BIRCHRUNVILLE"</f>
        <v>BIRCHRUNVILLE</v>
      </c>
      <c r="D3533" s="1" t="str">
        <f>"PA"</f>
        <v>PA</v>
      </c>
      <c r="E3533" s="2">
        <v>1</v>
      </c>
      <c r="F3533" s="2">
        <v>1</v>
      </c>
      <c r="G3533" s="2">
        <v>0</v>
      </c>
      <c r="H3533" s="2">
        <v>1</v>
      </c>
    </row>
    <row r="3534" spans="1:8" x14ac:dyDescent="0.25">
      <c r="A3534" s="1" t="str">
        <f>"20419"</f>
        <v>20419</v>
      </c>
      <c r="B3534" s="1" t="str">
        <f>"47894"</f>
        <v>47894</v>
      </c>
      <c r="C3534" s="1" t="str">
        <f>"WASHINGTON"</f>
        <v>WASHINGTON</v>
      </c>
      <c r="D3534" s="1" t="str">
        <f>"DC"</f>
        <v>DC</v>
      </c>
      <c r="E3534" s="2">
        <v>0</v>
      </c>
      <c r="F3534" s="2">
        <v>1</v>
      </c>
      <c r="G3534" s="2">
        <v>0</v>
      </c>
      <c r="H3534" s="2">
        <v>1</v>
      </c>
    </row>
    <row r="3535" spans="1:8" x14ac:dyDescent="0.25">
      <c r="A3535" s="1" t="str">
        <f>"91184"</f>
        <v>91184</v>
      </c>
      <c r="B3535" s="1" t="str">
        <f>"31084"</f>
        <v>31084</v>
      </c>
      <c r="C3535" s="1" t="str">
        <f>"PASADENA"</f>
        <v>PASADENA</v>
      </c>
      <c r="D3535" s="1" t="str">
        <f>"CA"</f>
        <v>CA</v>
      </c>
      <c r="E3535" s="2">
        <v>0</v>
      </c>
      <c r="F3535" s="2">
        <v>1</v>
      </c>
      <c r="G3535" s="2">
        <v>0</v>
      </c>
      <c r="H3535" s="2">
        <v>1</v>
      </c>
    </row>
    <row r="3536" spans="1:8" x14ac:dyDescent="0.25">
      <c r="A3536" s="1" t="str">
        <f>"20524"</f>
        <v>20524</v>
      </c>
      <c r="B3536" s="1" t="str">
        <f>"47894"</f>
        <v>47894</v>
      </c>
      <c r="C3536" s="1" t="str">
        <f>"WASHINGTON"</f>
        <v>WASHINGTON</v>
      </c>
      <c r="D3536" s="1" t="str">
        <f>"DC"</f>
        <v>DC</v>
      </c>
      <c r="E3536" s="2">
        <v>0</v>
      </c>
      <c r="F3536" s="2">
        <v>1</v>
      </c>
      <c r="G3536" s="2">
        <v>0</v>
      </c>
      <c r="H3536" s="2">
        <v>1</v>
      </c>
    </row>
    <row r="3537" spans="1:8" x14ac:dyDescent="0.25">
      <c r="A3537" s="1" t="str">
        <f>"03822"</f>
        <v>03822</v>
      </c>
      <c r="B3537" s="1" t="str">
        <f>"40484"</f>
        <v>40484</v>
      </c>
      <c r="C3537" s="1" t="str">
        <f>"DOVER"</f>
        <v>DOVER</v>
      </c>
      <c r="D3537" s="1" t="str">
        <f>"NH"</f>
        <v>NH</v>
      </c>
      <c r="E3537" s="2">
        <v>0</v>
      </c>
      <c r="F3537" s="2">
        <v>0</v>
      </c>
      <c r="G3537" s="2">
        <v>1</v>
      </c>
      <c r="H3537" s="2">
        <v>1</v>
      </c>
    </row>
    <row r="3538" spans="1:8" x14ac:dyDescent="0.25">
      <c r="A3538" s="1" t="str">
        <f>"20585"</f>
        <v>20585</v>
      </c>
      <c r="B3538" s="1" t="str">
        <f>"47894"</f>
        <v>47894</v>
      </c>
      <c r="C3538" s="1" t="str">
        <f>"WASHINGTON"</f>
        <v>WASHINGTON</v>
      </c>
      <c r="D3538" s="1" t="str">
        <f>"DC"</f>
        <v>DC</v>
      </c>
      <c r="E3538" s="2">
        <v>0</v>
      </c>
      <c r="F3538" s="2">
        <v>1</v>
      </c>
      <c r="G3538" s="2">
        <v>0</v>
      </c>
      <c r="H3538" s="2">
        <v>1</v>
      </c>
    </row>
    <row r="3539" spans="1:8" x14ac:dyDescent="0.25">
      <c r="A3539" s="1" t="str">
        <f>"76485"</f>
        <v>76485</v>
      </c>
      <c r="B3539" s="1" t="str">
        <f>"23104"</f>
        <v>23104</v>
      </c>
      <c r="C3539" s="1" t="str">
        <f>"PEASTER"</f>
        <v>PEASTER</v>
      </c>
      <c r="D3539" s="1" t="str">
        <f>"TX"</f>
        <v>TX</v>
      </c>
      <c r="E3539" s="2">
        <v>0</v>
      </c>
      <c r="F3539" s="2">
        <v>0</v>
      </c>
      <c r="G3539" s="2">
        <v>1</v>
      </c>
      <c r="H3539" s="2">
        <v>1</v>
      </c>
    </row>
    <row r="3540" spans="1:8" x14ac:dyDescent="0.25">
      <c r="A3540" s="1" t="str">
        <f>"22471"</f>
        <v>22471</v>
      </c>
      <c r="B3540" s="1" t="str">
        <f>"47894"</f>
        <v>47894</v>
      </c>
      <c r="C3540" s="1" t="str">
        <f>"HARTWOOD"</f>
        <v>HARTWOOD</v>
      </c>
      <c r="D3540" s="1" t="str">
        <f>"VA"</f>
        <v>VA</v>
      </c>
      <c r="E3540" s="2">
        <v>0</v>
      </c>
      <c r="F3540" s="2">
        <v>0</v>
      </c>
      <c r="G3540" s="2">
        <v>1</v>
      </c>
      <c r="H3540" s="2">
        <v>1</v>
      </c>
    </row>
    <row r="3541" spans="1:8" x14ac:dyDescent="0.25">
      <c r="A3541" s="1" t="str">
        <f>"76195"</f>
        <v>76195</v>
      </c>
      <c r="B3541" s="1" t="str">
        <f>"23104"</f>
        <v>23104</v>
      </c>
      <c r="C3541" s="1" t="str">
        <f>"FORT WORTH"</f>
        <v>FORT WORTH</v>
      </c>
      <c r="D3541" s="1" t="str">
        <f>"TX"</f>
        <v>TX</v>
      </c>
      <c r="E3541" s="2">
        <v>0</v>
      </c>
      <c r="F3541" s="2">
        <v>1</v>
      </c>
      <c r="G3541" s="2">
        <v>0</v>
      </c>
      <c r="H3541" s="2">
        <v>1</v>
      </c>
    </row>
    <row r="3542" spans="1:8" x14ac:dyDescent="0.25">
      <c r="A3542" s="1" t="str">
        <f>"07799"</f>
        <v>07799</v>
      </c>
      <c r="B3542" s="1" t="str">
        <f>"35154"</f>
        <v>35154</v>
      </c>
      <c r="C3542" s="1" t="str">
        <f>"EATONTOWN"</f>
        <v>EATONTOWN</v>
      </c>
      <c r="D3542" s="1" t="str">
        <f>"NJ"</f>
        <v>NJ</v>
      </c>
      <c r="E3542" s="2">
        <v>0</v>
      </c>
      <c r="F3542" s="2">
        <v>1</v>
      </c>
      <c r="G3542" s="2">
        <v>0</v>
      </c>
      <c r="H3542" s="2">
        <v>1</v>
      </c>
    </row>
    <row r="3543" spans="1:8" x14ac:dyDescent="0.25">
      <c r="A3543" s="1" t="str">
        <f>"11973"</f>
        <v>11973</v>
      </c>
      <c r="B3543" s="1" t="str">
        <f>"35004"</f>
        <v>35004</v>
      </c>
      <c r="C3543" s="1" t="str">
        <f>"UPTON"</f>
        <v>UPTON</v>
      </c>
      <c r="D3543" s="1" t="str">
        <f>"NY"</f>
        <v>NY</v>
      </c>
      <c r="E3543" s="2">
        <v>0</v>
      </c>
      <c r="F3543" s="2">
        <v>0</v>
      </c>
      <c r="G3543" s="2">
        <v>1</v>
      </c>
      <c r="H3543" s="2">
        <v>1</v>
      </c>
    </row>
    <row r="3544" spans="1:8" x14ac:dyDescent="0.25">
      <c r="A3544" s="1" t="str">
        <f>"92864"</f>
        <v>92864</v>
      </c>
      <c r="B3544" s="1" t="str">
        <f>"11244"</f>
        <v>11244</v>
      </c>
      <c r="C3544" s="1" t="str">
        <f>"ORANGE"</f>
        <v>ORANGE</v>
      </c>
      <c r="D3544" s="1" t="str">
        <f>"CA"</f>
        <v>CA</v>
      </c>
      <c r="E3544" s="2">
        <v>0</v>
      </c>
      <c r="F3544" s="2">
        <v>0</v>
      </c>
      <c r="G3544" s="2">
        <v>1</v>
      </c>
      <c r="H3544" s="2">
        <v>1</v>
      </c>
    </row>
    <row r="3545" spans="1:8" x14ac:dyDescent="0.25">
      <c r="A3545" s="1" t="str">
        <f>"20423"</f>
        <v>20423</v>
      </c>
      <c r="B3545" s="1" t="str">
        <f>"47894"</f>
        <v>47894</v>
      </c>
      <c r="C3545" s="1" t="str">
        <f>"WASHINGTON"</f>
        <v>WASHINGTON</v>
      </c>
      <c r="D3545" s="1" t="str">
        <f>"DC"</f>
        <v>DC</v>
      </c>
      <c r="E3545" s="2">
        <v>0</v>
      </c>
      <c r="F3545" s="2">
        <v>1</v>
      </c>
      <c r="G3545" s="2">
        <v>0</v>
      </c>
      <c r="H3545" s="2">
        <v>1</v>
      </c>
    </row>
    <row r="3546" spans="1:8" x14ac:dyDescent="0.25">
      <c r="A3546" s="1" t="str">
        <f>"20237"</f>
        <v>20237</v>
      </c>
      <c r="B3546" s="1" t="str">
        <f>"47894"</f>
        <v>47894</v>
      </c>
      <c r="C3546" s="1" t="str">
        <f>"WASHINGTON"</f>
        <v>WASHINGTON</v>
      </c>
      <c r="D3546" s="1" t="str">
        <f>"DC"</f>
        <v>DC</v>
      </c>
      <c r="E3546" s="2">
        <v>0</v>
      </c>
      <c r="F3546" s="2">
        <v>1</v>
      </c>
      <c r="G3546" s="2">
        <v>0</v>
      </c>
      <c r="H3546" s="2">
        <v>1</v>
      </c>
    </row>
    <row r="3547" spans="1:8" x14ac:dyDescent="0.25">
      <c r="A3547" s="1" t="str">
        <f>"22242"</f>
        <v>22242</v>
      </c>
      <c r="B3547" s="1" t="str">
        <f>"47894"</f>
        <v>47894</v>
      </c>
      <c r="C3547" s="1" t="str">
        <f>"ARLINGTON"</f>
        <v>ARLINGTON</v>
      </c>
      <c r="D3547" s="1" t="str">
        <f>"VA"</f>
        <v>VA</v>
      </c>
      <c r="E3547" s="2">
        <v>0</v>
      </c>
      <c r="F3547" s="2">
        <v>1</v>
      </c>
      <c r="G3547" s="2">
        <v>0</v>
      </c>
      <c r="H3547" s="2">
        <v>1</v>
      </c>
    </row>
    <row r="3548" spans="1:8" x14ac:dyDescent="0.25">
      <c r="A3548" s="1" t="str">
        <f>"18911"</f>
        <v>18911</v>
      </c>
      <c r="B3548" s="1" t="str">
        <f>"33874"</f>
        <v>33874</v>
      </c>
      <c r="C3548" s="1" t="str">
        <f>"BLOOMING GLEN"</f>
        <v>BLOOMING GLEN</v>
      </c>
      <c r="D3548" s="1" t="str">
        <f>"PA"</f>
        <v>PA</v>
      </c>
      <c r="E3548" s="2">
        <v>0</v>
      </c>
      <c r="F3548" s="2">
        <v>1</v>
      </c>
      <c r="G3548" s="2">
        <v>0</v>
      </c>
      <c r="H3548" s="2">
        <v>1</v>
      </c>
    </row>
    <row r="3549" spans="1:8" x14ac:dyDescent="0.25">
      <c r="A3549" s="1" t="str">
        <f>"91499"</f>
        <v>91499</v>
      </c>
      <c r="B3549" s="1" t="str">
        <f>"31084"</f>
        <v>31084</v>
      </c>
      <c r="C3549" s="1" t="str">
        <f>"VAN NUYS"</f>
        <v>VAN NUYS</v>
      </c>
      <c r="D3549" s="1" t="str">
        <f>"CA"</f>
        <v>CA</v>
      </c>
      <c r="E3549" s="2">
        <v>0</v>
      </c>
      <c r="F3549" s="2">
        <v>0</v>
      </c>
      <c r="G3549" s="2">
        <v>1</v>
      </c>
      <c r="H3549" s="2">
        <v>1</v>
      </c>
    </row>
    <row r="3550" spans="1:8" x14ac:dyDescent="0.25">
      <c r="A3550" s="1" t="str">
        <f>"01731"</f>
        <v>01731</v>
      </c>
      <c r="B3550" s="1" t="str">
        <f>"15764"</f>
        <v>15764</v>
      </c>
      <c r="C3550" s="1" t="str">
        <f>"HANSCOM AFB"</f>
        <v>HANSCOM AFB</v>
      </c>
      <c r="D3550" s="1" t="str">
        <f t="shared" ref="D3550:D3556" si="261">"MA"</f>
        <v>MA</v>
      </c>
      <c r="E3550" s="2">
        <v>1</v>
      </c>
      <c r="F3550" s="2">
        <v>1</v>
      </c>
      <c r="G3550" s="2">
        <v>1</v>
      </c>
      <c r="H3550" s="2">
        <v>1</v>
      </c>
    </row>
    <row r="3551" spans="1:8" x14ac:dyDescent="0.25">
      <c r="A3551" s="1" t="str">
        <f>"01824"</f>
        <v>01824</v>
      </c>
      <c r="B3551" s="1" t="str">
        <f>"15764"</f>
        <v>15764</v>
      </c>
      <c r="C3551" s="1" t="str">
        <f>"CHELMSFORD"</f>
        <v>CHELMSFORD</v>
      </c>
      <c r="D3551" s="1" t="str">
        <f t="shared" si="261"/>
        <v>MA</v>
      </c>
      <c r="E3551" s="2">
        <v>1</v>
      </c>
      <c r="F3551" s="2">
        <v>1</v>
      </c>
      <c r="G3551" s="2">
        <v>1</v>
      </c>
      <c r="H3551" s="2">
        <v>1</v>
      </c>
    </row>
    <row r="3552" spans="1:8" x14ac:dyDescent="0.25">
      <c r="A3552" s="1" t="str">
        <f>"02135"</f>
        <v>02135</v>
      </c>
      <c r="B3552" s="1" t="str">
        <f>"14454"</f>
        <v>14454</v>
      </c>
      <c r="C3552" s="1" t="str">
        <f>"BRIGHTON"</f>
        <v>BRIGHTON</v>
      </c>
      <c r="D3552" s="1" t="str">
        <f t="shared" si="261"/>
        <v>MA</v>
      </c>
      <c r="E3552" s="2">
        <v>1</v>
      </c>
      <c r="F3552" s="2">
        <v>1</v>
      </c>
      <c r="G3552" s="2">
        <v>1</v>
      </c>
      <c r="H3552" s="2">
        <v>1</v>
      </c>
    </row>
    <row r="3553" spans="1:8" x14ac:dyDescent="0.25">
      <c r="A3553" s="1" t="str">
        <f>"02141"</f>
        <v>02141</v>
      </c>
      <c r="B3553" s="1" t="str">
        <f>"15764"</f>
        <v>15764</v>
      </c>
      <c r="C3553" s="1" t="str">
        <f>"CAMBRIDGE"</f>
        <v>CAMBRIDGE</v>
      </c>
      <c r="D3553" s="1" t="str">
        <f t="shared" si="261"/>
        <v>MA</v>
      </c>
      <c r="E3553" s="2">
        <v>0.99656526005888102</v>
      </c>
      <c r="F3553" s="2">
        <v>0.99432624113475099</v>
      </c>
      <c r="G3553" s="2">
        <v>0.99225556631171297</v>
      </c>
      <c r="H3553" s="2">
        <v>0.995955510616784</v>
      </c>
    </row>
    <row r="3554" spans="1:8" x14ac:dyDescent="0.25">
      <c r="A3554" s="1" t="str">
        <f>"02141"</f>
        <v>02141</v>
      </c>
      <c r="B3554" s="1" t="str">
        <f>"14454"</f>
        <v>14454</v>
      </c>
      <c r="C3554" s="1" t="str">
        <f>"CAMBRIDGE"</f>
        <v>CAMBRIDGE</v>
      </c>
      <c r="D3554" s="1" t="str">
        <f t="shared" si="261"/>
        <v>MA</v>
      </c>
      <c r="E3554" s="2">
        <v>3.4347399411187398E-3</v>
      </c>
      <c r="F3554" s="2">
        <v>5.6737588652482204E-3</v>
      </c>
      <c r="G3554" s="2">
        <v>7.74443368828654E-3</v>
      </c>
      <c r="H3554" s="2">
        <v>4.0444893832153597E-3</v>
      </c>
    </row>
    <row r="3555" spans="1:8" x14ac:dyDescent="0.25">
      <c r="A3555" s="1" t="str">
        <f>"02322"</f>
        <v>02322</v>
      </c>
      <c r="B3555" s="1" t="str">
        <f>"14454"</f>
        <v>14454</v>
      </c>
      <c r="C3555" s="1" t="str">
        <f>"AVON"</f>
        <v>AVON</v>
      </c>
      <c r="D3555" s="1" t="str">
        <f t="shared" si="261"/>
        <v>MA</v>
      </c>
      <c r="E3555" s="2">
        <v>1</v>
      </c>
      <c r="F3555" s="2">
        <v>1</v>
      </c>
      <c r="G3555" s="2">
        <v>1</v>
      </c>
      <c r="H3555" s="2">
        <v>1</v>
      </c>
    </row>
    <row r="3556" spans="1:8" x14ac:dyDescent="0.25">
      <c r="A3556" s="1" t="str">
        <f>"02558"</f>
        <v>02558</v>
      </c>
      <c r="B3556" s="1" t="str">
        <f>"14454"</f>
        <v>14454</v>
      </c>
      <c r="C3556" s="1" t="str">
        <f>"ONSET"</f>
        <v>ONSET</v>
      </c>
      <c r="D3556" s="1" t="str">
        <f t="shared" si="261"/>
        <v>MA</v>
      </c>
      <c r="E3556" s="2">
        <v>1</v>
      </c>
      <c r="F3556" s="2">
        <v>0</v>
      </c>
      <c r="G3556" s="2">
        <v>1</v>
      </c>
      <c r="H3556" s="2">
        <v>1</v>
      </c>
    </row>
    <row r="3557" spans="1:8" x14ac:dyDescent="0.25">
      <c r="A3557" s="1" t="str">
        <f>"07009"</f>
        <v>07009</v>
      </c>
      <c r="B3557" s="1" t="str">
        <f>"35084"</f>
        <v>35084</v>
      </c>
      <c r="C3557" s="1" t="str">
        <f>"CEDAR GROVE"</f>
        <v>CEDAR GROVE</v>
      </c>
      <c r="D3557" s="1" t="str">
        <f t="shared" ref="D3557:D3569" si="262">"NJ"</f>
        <v>NJ</v>
      </c>
      <c r="E3557" s="2">
        <v>1</v>
      </c>
      <c r="F3557" s="2">
        <v>1</v>
      </c>
      <c r="G3557" s="2">
        <v>1</v>
      </c>
      <c r="H3557" s="2">
        <v>1</v>
      </c>
    </row>
    <row r="3558" spans="1:8" x14ac:dyDescent="0.25">
      <c r="A3558" s="1" t="str">
        <f>"07047"</f>
        <v>07047</v>
      </c>
      <c r="B3558" s="1" t="str">
        <f>"35614"</f>
        <v>35614</v>
      </c>
      <c r="C3558" s="1" t="str">
        <f>"NORTH BERGEN"</f>
        <v>NORTH BERGEN</v>
      </c>
      <c r="D3558" s="1" t="str">
        <f t="shared" si="262"/>
        <v>NJ</v>
      </c>
      <c r="E3558" s="2">
        <v>1</v>
      </c>
      <c r="F3558" s="2">
        <v>1</v>
      </c>
      <c r="G3558" s="2">
        <v>1</v>
      </c>
      <c r="H3558" s="2">
        <v>1</v>
      </c>
    </row>
    <row r="3559" spans="1:8" x14ac:dyDescent="0.25">
      <c r="A3559" s="1" t="str">
        <f>"07648"</f>
        <v>07648</v>
      </c>
      <c r="B3559" s="1" t="str">
        <f>"35614"</f>
        <v>35614</v>
      </c>
      <c r="C3559" s="1" t="str">
        <f>"NORWOOD"</f>
        <v>NORWOOD</v>
      </c>
      <c r="D3559" s="1" t="str">
        <f t="shared" si="262"/>
        <v>NJ</v>
      </c>
      <c r="E3559" s="2">
        <v>1</v>
      </c>
      <c r="F3559" s="2">
        <v>1</v>
      </c>
      <c r="G3559" s="2">
        <v>1</v>
      </c>
      <c r="H3559" s="2">
        <v>1</v>
      </c>
    </row>
    <row r="3560" spans="1:8" x14ac:dyDescent="0.25">
      <c r="A3560" s="1" t="str">
        <f>"07632"</f>
        <v>07632</v>
      </c>
      <c r="B3560" s="1" t="str">
        <f>"35614"</f>
        <v>35614</v>
      </c>
      <c r="C3560" s="1" t="str">
        <f>"ENGLEWOOD CLIFFS"</f>
        <v>ENGLEWOOD CLIFFS</v>
      </c>
      <c r="D3560" s="1" t="str">
        <f t="shared" si="262"/>
        <v>NJ</v>
      </c>
      <c r="E3560" s="2">
        <v>1</v>
      </c>
      <c r="F3560" s="2">
        <v>1</v>
      </c>
      <c r="G3560" s="2">
        <v>1</v>
      </c>
      <c r="H3560" s="2">
        <v>1</v>
      </c>
    </row>
    <row r="3561" spans="1:8" x14ac:dyDescent="0.25">
      <c r="A3561" s="1" t="str">
        <f>"07643"</f>
        <v>07643</v>
      </c>
      <c r="B3561" s="1" t="str">
        <f>"35614"</f>
        <v>35614</v>
      </c>
      <c r="C3561" s="1" t="str">
        <f>"LITTLE FERRY"</f>
        <v>LITTLE FERRY</v>
      </c>
      <c r="D3561" s="1" t="str">
        <f t="shared" si="262"/>
        <v>NJ</v>
      </c>
      <c r="E3561" s="2">
        <v>1</v>
      </c>
      <c r="F3561" s="2">
        <v>1</v>
      </c>
      <c r="G3561" s="2">
        <v>1</v>
      </c>
      <c r="H3561" s="2">
        <v>1</v>
      </c>
    </row>
    <row r="3562" spans="1:8" x14ac:dyDescent="0.25">
      <c r="A3562" s="1" t="str">
        <f>"07746"</f>
        <v>07746</v>
      </c>
      <c r="B3562" s="1" t="str">
        <f>"35154"</f>
        <v>35154</v>
      </c>
      <c r="C3562" s="1" t="str">
        <f>"MARLBORO"</f>
        <v>MARLBORO</v>
      </c>
      <c r="D3562" s="1" t="str">
        <f t="shared" si="262"/>
        <v>NJ</v>
      </c>
      <c r="E3562" s="2">
        <v>1</v>
      </c>
      <c r="F3562" s="2">
        <v>1</v>
      </c>
      <c r="G3562" s="2">
        <v>1</v>
      </c>
      <c r="H3562" s="2">
        <v>1</v>
      </c>
    </row>
    <row r="3563" spans="1:8" x14ac:dyDescent="0.25">
      <c r="A3563" s="1" t="str">
        <f>"07843"</f>
        <v>07843</v>
      </c>
      <c r="B3563" s="1" t="str">
        <f>"35084"</f>
        <v>35084</v>
      </c>
      <c r="C3563" s="1" t="str">
        <f>"HOPATCONG"</f>
        <v>HOPATCONG</v>
      </c>
      <c r="D3563" s="1" t="str">
        <f t="shared" si="262"/>
        <v>NJ</v>
      </c>
      <c r="E3563" s="2">
        <v>1</v>
      </c>
      <c r="F3563" s="2">
        <v>1</v>
      </c>
      <c r="G3563" s="2">
        <v>1</v>
      </c>
      <c r="H3563" s="2">
        <v>1</v>
      </c>
    </row>
    <row r="3564" spans="1:8" x14ac:dyDescent="0.25">
      <c r="A3564" s="1" t="str">
        <f>"07946"</f>
        <v>07946</v>
      </c>
      <c r="B3564" s="1" t="str">
        <f>"35084"</f>
        <v>35084</v>
      </c>
      <c r="C3564" s="1" t="str">
        <f>"MILLINGTON"</f>
        <v>MILLINGTON</v>
      </c>
      <c r="D3564" s="1" t="str">
        <f t="shared" si="262"/>
        <v>NJ</v>
      </c>
      <c r="E3564" s="2">
        <v>1</v>
      </c>
      <c r="F3564" s="2">
        <v>1</v>
      </c>
      <c r="G3564" s="2">
        <v>1</v>
      </c>
      <c r="H3564" s="2">
        <v>1</v>
      </c>
    </row>
    <row r="3565" spans="1:8" x14ac:dyDescent="0.25">
      <c r="A3565" s="1" t="str">
        <f>"08050"</f>
        <v>08050</v>
      </c>
      <c r="B3565" s="1" t="str">
        <f>"35154"</f>
        <v>35154</v>
      </c>
      <c r="C3565" s="1" t="str">
        <f>"MANAHAWKIN"</f>
        <v>MANAHAWKIN</v>
      </c>
      <c r="D3565" s="1" t="str">
        <f t="shared" si="262"/>
        <v>NJ</v>
      </c>
      <c r="E3565" s="2">
        <v>1</v>
      </c>
      <c r="F3565" s="2">
        <v>1</v>
      </c>
      <c r="G3565" s="2">
        <v>1</v>
      </c>
      <c r="H3565" s="2">
        <v>1</v>
      </c>
    </row>
    <row r="3566" spans="1:8" x14ac:dyDescent="0.25">
      <c r="A3566" s="1" t="str">
        <f>"08514"</f>
        <v>08514</v>
      </c>
      <c r="B3566" s="1" t="str">
        <f>"35154"</f>
        <v>35154</v>
      </c>
      <c r="C3566" s="1" t="str">
        <f>"CREAM RIDGE"</f>
        <v>CREAM RIDGE</v>
      </c>
      <c r="D3566" s="1" t="str">
        <f t="shared" si="262"/>
        <v>NJ</v>
      </c>
      <c r="E3566" s="2">
        <v>1</v>
      </c>
      <c r="F3566" s="2">
        <v>1</v>
      </c>
      <c r="G3566" s="2">
        <v>1</v>
      </c>
      <c r="H3566" s="2">
        <v>1</v>
      </c>
    </row>
    <row r="3567" spans="1:8" x14ac:dyDescent="0.25">
      <c r="A3567" s="1" t="str">
        <f>"08750"</f>
        <v>08750</v>
      </c>
      <c r="B3567" s="1" t="str">
        <f>"35154"</f>
        <v>35154</v>
      </c>
      <c r="C3567" s="1" t="str">
        <f>"SEA GIRT"</f>
        <v>SEA GIRT</v>
      </c>
      <c r="D3567" s="1" t="str">
        <f t="shared" si="262"/>
        <v>NJ</v>
      </c>
      <c r="E3567" s="2">
        <v>1</v>
      </c>
      <c r="F3567" s="2">
        <v>1</v>
      </c>
      <c r="G3567" s="2">
        <v>1</v>
      </c>
      <c r="H3567" s="2">
        <v>1</v>
      </c>
    </row>
    <row r="3568" spans="1:8" x14ac:dyDescent="0.25">
      <c r="A3568" s="1" t="str">
        <f>"08802"</f>
        <v>08802</v>
      </c>
      <c r="B3568" s="1" t="str">
        <f>"35084"</f>
        <v>35084</v>
      </c>
      <c r="C3568" s="1" t="str">
        <f>"ASBURY"</f>
        <v>ASBURY</v>
      </c>
      <c r="D3568" s="1" t="str">
        <f t="shared" si="262"/>
        <v>NJ</v>
      </c>
      <c r="E3568" s="2">
        <v>1</v>
      </c>
      <c r="F3568" s="2">
        <v>1</v>
      </c>
      <c r="G3568" s="2">
        <v>1</v>
      </c>
      <c r="H3568" s="2">
        <v>1</v>
      </c>
    </row>
    <row r="3569" spans="1:8" x14ac:dyDescent="0.25">
      <c r="A3569" s="1" t="str">
        <f>"08835"</f>
        <v>08835</v>
      </c>
      <c r="B3569" s="1" t="str">
        <f>"35154"</f>
        <v>35154</v>
      </c>
      <c r="C3569" s="1" t="str">
        <f>"MANVILLE"</f>
        <v>MANVILLE</v>
      </c>
      <c r="D3569" s="1" t="str">
        <f t="shared" si="262"/>
        <v>NJ</v>
      </c>
      <c r="E3569" s="2">
        <v>1</v>
      </c>
      <c r="F3569" s="2">
        <v>1</v>
      </c>
      <c r="G3569" s="2">
        <v>1</v>
      </c>
      <c r="H3569" s="2">
        <v>1</v>
      </c>
    </row>
    <row r="3570" spans="1:8" x14ac:dyDescent="0.25">
      <c r="A3570" s="1" t="str">
        <f>"10012"</f>
        <v>10012</v>
      </c>
      <c r="B3570" s="1" t="str">
        <f t="shared" ref="B3570:B3577" si="263">"35614"</f>
        <v>35614</v>
      </c>
      <c r="C3570" s="1" t="str">
        <f t="shared" ref="C3570:C3575" si="264">"NEW YORK"</f>
        <v>NEW YORK</v>
      </c>
      <c r="D3570" s="1" t="str">
        <f t="shared" ref="D3570:D3583" si="265">"NY"</f>
        <v>NY</v>
      </c>
      <c r="E3570" s="2">
        <v>1</v>
      </c>
      <c r="F3570" s="2">
        <v>1</v>
      </c>
      <c r="G3570" s="2">
        <v>1</v>
      </c>
      <c r="H3570" s="2">
        <v>1</v>
      </c>
    </row>
    <row r="3571" spans="1:8" x14ac:dyDescent="0.25">
      <c r="A3571" s="1" t="str">
        <f>"10009"</f>
        <v>10009</v>
      </c>
      <c r="B3571" s="1" t="str">
        <f t="shared" si="263"/>
        <v>35614</v>
      </c>
      <c r="C3571" s="1" t="str">
        <f t="shared" si="264"/>
        <v>NEW YORK</v>
      </c>
      <c r="D3571" s="1" t="str">
        <f t="shared" si="265"/>
        <v>NY</v>
      </c>
      <c r="E3571" s="2">
        <v>1</v>
      </c>
      <c r="F3571" s="2">
        <v>1</v>
      </c>
      <c r="G3571" s="2">
        <v>1</v>
      </c>
      <c r="H3571" s="2">
        <v>1</v>
      </c>
    </row>
    <row r="3572" spans="1:8" x14ac:dyDescent="0.25">
      <c r="A3572" s="1" t="str">
        <f>"10022"</f>
        <v>10022</v>
      </c>
      <c r="B3572" s="1" t="str">
        <f t="shared" si="263"/>
        <v>35614</v>
      </c>
      <c r="C3572" s="1" t="str">
        <f t="shared" si="264"/>
        <v>NEW YORK</v>
      </c>
      <c r="D3572" s="1" t="str">
        <f t="shared" si="265"/>
        <v>NY</v>
      </c>
      <c r="E3572" s="2">
        <v>1</v>
      </c>
      <c r="F3572" s="2">
        <v>1</v>
      </c>
      <c r="G3572" s="2">
        <v>1</v>
      </c>
      <c r="H3572" s="2">
        <v>1</v>
      </c>
    </row>
    <row r="3573" spans="1:8" x14ac:dyDescent="0.25">
      <c r="A3573" s="1" t="str">
        <f>"10036"</f>
        <v>10036</v>
      </c>
      <c r="B3573" s="1" t="str">
        <f t="shared" si="263"/>
        <v>35614</v>
      </c>
      <c r="C3573" s="1" t="str">
        <f t="shared" si="264"/>
        <v>NEW YORK</v>
      </c>
      <c r="D3573" s="1" t="str">
        <f t="shared" si="265"/>
        <v>NY</v>
      </c>
      <c r="E3573" s="2">
        <v>1</v>
      </c>
      <c r="F3573" s="2">
        <v>1</v>
      </c>
      <c r="G3573" s="2">
        <v>1</v>
      </c>
      <c r="H3573" s="2">
        <v>1</v>
      </c>
    </row>
    <row r="3574" spans="1:8" x14ac:dyDescent="0.25">
      <c r="A3574" s="1" t="str">
        <f>"10069"</f>
        <v>10069</v>
      </c>
      <c r="B3574" s="1" t="str">
        <f t="shared" si="263"/>
        <v>35614</v>
      </c>
      <c r="C3574" s="1" t="str">
        <f t="shared" si="264"/>
        <v>NEW YORK</v>
      </c>
      <c r="D3574" s="1" t="str">
        <f t="shared" si="265"/>
        <v>NY</v>
      </c>
      <c r="E3574" s="2">
        <v>1</v>
      </c>
      <c r="F3574" s="2">
        <v>1</v>
      </c>
      <c r="G3574" s="2">
        <v>1</v>
      </c>
      <c r="H3574" s="2">
        <v>1</v>
      </c>
    </row>
    <row r="3575" spans="1:8" x14ac:dyDescent="0.25">
      <c r="A3575" s="1" t="str">
        <f>"10108"</f>
        <v>10108</v>
      </c>
      <c r="B3575" s="1" t="str">
        <f t="shared" si="263"/>
        <v>35614</v>
      </c>
      <c r="C3575" s="1" t="str">
        <f t="shared" si="264"/>
        <v>NEW YORK</v>
      </c>
      <c r="D3575" s="1" t="str">
        <f t="shared" si="265"/>
        <v>NY</v>
      </c>
      <c r="E3575" s="2">
        <v>1</v>
      </c>
      <c r="F3575" s="2">
        <v>1</v>
      </c>
      <c r="G3575" s="2">
        <v>1</v>
      </c>
      <c r="H3575" s="2">
        <v>1</v>
      </c>
    </row>
    <row r="3576" spans="1:8" x14ac:dyDescent="0.25">
      <c r="A3576" s="1" t="str">
        <f>"10305"</f>
        <v>10305</v>
      </c>
      <c r="B3576" s="1" t="str">
        <f t="shared" si="263"/>
        <v>35614</v>
      </c>
      <c r="C3576" s="1" t="str">
        <f>"STATEN ISLAND"</f>
        <v>STATEN ISLAND</v>
      </c>
      <c r="D3576" s="1" t="str">
        <f t="shared" si="265"/>
        <v>NY</v>
      </c>
      <c r="E3576" s="2">
        <v>1</v>
      </c>
      <c r="F3576" s="2">
        <v>1</v>
      </c>
      <c r="G3576" s="2">
        <v>1</v>
      </c>
      <c r="H3576" s="2">
        <v>1</v>
      </c>
    </row>
    <row r="3577" spans="1:8" x14ac:dyDescent="0.25">
      <c r="A3577" s="1" t="str">
        <f>"11209"</f>
        <v>11209</v>
      </c>
      <c r="B3577" s="1" t="str">
        <f t="shared" si="263"/>
        <v>35614</v>
      </c>
      <c r="C3577" s="1" t="str">
        <f>"BROOKLYN"</f>
        <v>BROOKLYN</v>
      </c>
      <c r="D3577" s="1" t="str">
        <f t="shared" si="265"/>
        <v>NY</v>
      </c>
      <c r="E3577" s="2">
        <v>1</v>
      </c>
      <c r="F3577" s="2">
        <v>1</v>
      </c>
      <c r="G3577" s="2">
        <v>1</v>
      </c>
      <c r="H3577" s="2">
        <v>1</v>
      </c>
    </row>
    <row r="3578" spans="1:8" x14ac:dyDescent="0.25">
      <c r="A3578" s="1" t="str">
        <f>"11581"</f>
        <v>11581</v>
      </c>
      <c r="B3578" s="1" t="str">
        <f>"35004"</f>
        <v>35004</v>
      </c>
      <c r="C3578" s="1" t="str">
        <f>"VALLEY STREAM"</f>
        <v>VALLEY STREAM</v>
      </c>
      <c r="D3578" s="1" t="str">
        <f t="shared" si="265"/>
        <v>NY</v>
      </c>
      <c r="E3578" s="2">
        <v>1</v>
      </c>
      <c r="F3578" s="2">
        <v>1</v>
      </c>
      <c r="G3578" s="2">
        <v>1</v>
      </c>
      <c r="H3578" s="2">
        <v>1</v>
      </c>
    </row>
    <row r="3579" spans="1:8" x14ac:dyDescent="0.25">
      <c r="A3579" s="1" t="str">
        <f>"11788"</f>
        <v>11788</v>
      </c>
      <c r="B3579" s="1" t="str">
        <f>"35004"</f>
        <v>35004</v>
      </c>
      <c r="C3579" s="1" t="str">
        <f>"HAUPPAUGE"</f>
        <v>HAUPPAUGE</v>
      </c>
      <c r="D3579" s="1" t="str">
        <f t="shared" si="265"/>
        <v>NY</v>
      </c>
      <c r="E3579" s="2">
        <v>1</v>
      </c>
      <c r="F3579" s="2">
        <v>1</v>
      </c>
      <c r="G3579" s="2">
        <v>1</v>
      </c>
      <c r="H3579" s="2">
        <v>1</v>
      </c>
    </row>
    <row r="3580" spans="1:8" x14ac:dyDescent="0.25">
      <c r="A3580" s="1" t="str">
        <f>"11803"</f>
        <v>11803</v>
      </c>
      <c r="B3580" s="1" t="str">
        <f>"35004"</f>
        <v>35004</v>
      </c>
      <c r="C3580" s="1" t="str">
        <f>"PLAINVIEW"</f>
        <v>PLAINVIEW</v>
      </c>
      <c r="D3580" s="1" t="str">
        <f t="shared" si="265"/>
        <v>NY</v>
      </c>
      <c r="E3580" s="2">
        <v>1</v>
      </c>
      <c r="F3580" s="2">
        <v>1</v>
      </c>
      <c r="G3580" s="2">
        <v>1</v>
      </c>
      <c r="H3580" s="2">
        <v>1</v>
      </c>
    </row>
    <row r="3581" spans="1:8" x14ac:dyDescent="0.25">
      <c r="A3581" s="1" t="str">
        <f>"11955"</f>
        <v>11955</v>
      </c>
      <c r="B3581" s="1" t="str">
        <f>"35004"</f>
        <v>35004</v>
      </c>
      <c r="C3581" s="1" t="str">
        <f>"MORICHES"</f>
        <v>MORICHES</v>
      </c>
      <c r="D3581" s="1" t="str">
        <f t="shared" si="265"/>
        <v>NY</v>
      </c>
      <c r="E3581" s="2">
        <v>1</v>
      </c>
      <c r="F3581" s="2">
        <v>1</v>
      </c>
      <c r="G3581" s="2">
        <v>1</v>
      </c>
      <c r="H3581" s="2">
        <v>1</v>
      </c>
    </row>
    <row r="3582" spans="1:8" x14ac:dyDescent="0.25">
      <c r="A3582" s="1" t="str">
        <f>"10605"</f>
        <v>10605</v>
      </c>
      <c r="B3582" s="1" t="str">
        <f>"35614"</f>
        <v>35614</v>
      </c>
      <c r="C3582" s="1" t="str">
        <f>"WHITE PLAINS"</f>
        <v>WHITE PLAINS</v>
      </c>
      <c r="D3582" s="1" t="str">
        <f t="shared" si="265"/>
        <v>NY</v>
      </c>
      <c r="E3582" s="2">
        <v>1</v>
      </c>
      <c r="F3582" s="2">
        <v>1</v>
      </c>
      <c r="G3582" s="2">
        <v>1</v>
      </c>
      <c r="H3582" s="2">
        <v>1</v>
      </c>
    </row>
    <row r="3583" spans="1:8" x14ac:dyDescent="0.25">
      <c r="A3583" s="1" t="str">
        <f>"10583"</f>
        <v>10583</v>
      </c>
      <c r="B3583" s="1" t="str">
        <f>"35614"</f>
        <v>35614</v>
      </c>
      <c r="C3583" s="1" t="str">
        <f>"SCARSDALE"</f>
        <v>SCARSDALE</v>
      </c>
      <c r="D3583" s="1" t="str">
        <f t="shared" si="265"/>
        <v>NY</v>
      </c>
      <c r="E3583" s="2">
        <v>1</v>
      </c>
      <c r="F3583" s="2">
        <v>1</v>
      </c>
      <c r="G3583" s="2">
        <v>1</v>
      </c>
      <c r="H3583" s="2">
        <v>1</v>
      </c>
    </row>
    <row r="3584" spans="1:8" x14ac:dyDescent="0.25">
      <c r="A3584" s="1" t="str">
        <f>"18054"</f>
        <v>18054</v>
      </c>
      <c r="B3584" s="1" t="str">
        <f>"33874"</f>
        <v>33874</v>
      </c>
      <c r="C3584" s="1" t="str">
        <f>"GREEN LANE"</f>
        <v>GREEN LANE</v>
      </c>
      <c r="D3584" s="1" t="str">
        <f t="shared" ref="D3584:D3590" si="266">"PA"</f>
        <v>PA</v>
      </c>
      <c r="E3584" s="2">
        <v>1</v>
      </c>
      <c r="F3584" s="2">
        <v>1</v>
      </c>
      <c r="G3584" s="2">
        <v>1</v>
      </c>
      <c r="H3584" s="2">
        <v>1</v>
      </c>
    </row>
    <row r="3585" spans="1:8" x14ac:dyDescent="0.25">
      <c r="A3585" s="1" t="str">
        <f>"19025"</f>
        <v>19025</v>
      </c>
      <c r="B3585" s="1" t="str">
        <f>"33874"</f>
        <v>33874</v>
      </c>
      <c r="C3585" s="1" t="str">
        <f>"DRESHER"</f>
        <v>DRESHER</v>
      </c>
      <c r="D3585" s="1" t="str">
        <f t="shared" si="266"/>
        <v>PA</v>
      </c>
      <c r="E3585" s="2">
        <v>1</v>
      </c>
      <c r="F3585" s="2">
        <v>1</v>
      </c>
      <c r="G3585" s="2">
        <v>1</v>
      </c>
      <c r="H3585" s="2">
        <v>1</v>
      </c>
    </row>
    <row r="3586" spans="1:8" x14ac:dyDescent="0.25">
      <c r="A3586" s="1" t="str">
        <f>"19070"</f>
        <v>19070</v>
      </c>
      <c r="B3586" s="1" t="str">
        <f>"37964"</f>
        <v>37964</v>
      </c>
      <c r="C3586" s="1" t="str">
        <f>"MORTON"</f>
        <v>MORTON</v>
      </c>
      <c r="D3586" s="1" t="str">
        <f t="shared" si="266"/>
        <v>PA</v>
      </c>
      <c r="E3586" s="2">
        <v>1</v>
      </c>
      <c r="F3586" s="2">
        <v>1</v>
      </c>
      <c r="G3586" s="2">
        <v>1</v>
      </c>
      <c r="H3586" s="2">
        <v>1</v>
      </c>
    </row>
    <row r="3587" spans="1:8" x14ac:dyDescent="0.25">
      <c r="A3587" s="1" t="str">
        <f>"19082"</f>
        <v>19082</v>
      </c>
      <c r="B3587" s="1" t="str">
        <f>"37964"</f>
        <v>37964</v>
      </c>
      <c r="C3587" s="1" t="str">
        <f>"UPPER DARBY"</f>
        <v>UPPER DARBY</v>
      </c>
      <c r="D3587" s="1" t="str">
        <f t="shared" si="266"/>
        <v>PA</v>
      </c>
      <c r="E3587" s="2">
        <v>1</v>
      </c>
      <c r="F3587" s="2">
        <v>1</v>
      </c>
      <c r="G3587" s="2">
        <v>1</v>
      </c>
      <c r="H3587" s="2">
        <v>1</v>
      </c>
    </row>
    <row r="3588" spans="1:8" x14ac:dyDescent="0.25">
      <c r="A3588" s="1" t="str">
        <f>"19121"</f>
        <v>19121</v>
      </c>
      <c r="B3588" s="1" t="str">
        <f>"37964"</f>
        <v>37964</v>
      </c>
      <c r="C3588" s="1" t="str">
        <f>"PHILADELPHIA"</f>
        <v>PHILADELPHIA</v>
      </c>
      <c r="D3588" s="1" t="str">
        <f t="shared" si="266"/>
        <v>PA</v>
      </c>
      <c r="E3588" s="2">
        <v>1</v>
      </c>
      <c r="F3588" s="2">
        <v>1</v>
      </c>
      <c r="G3588" s="2">
        <v>1</v>
      </c>
      <c r="H3588" s="2">
        <v>1</v>
      </c>
    </row>
    <row r="3589" spans="1:8" x14ac:dyDescent="0.25">
      <c r="A3589" s="1" t="str">
        <f>"19403"</f>
        <v>19403</v>
      </c>
      <c r="B3589" s="1" t="str">
        <f>"33874"</f>
        <v>33874</v>
      </c>
      <c r="C3589" s="1" t="str">
        <f>"NORRISTOWN"</f>
        <v>NORRISTOWN</v>
      </c>
      <c r="D3589" s="1" t="str">
        <f t="shared" si="266"/>
        <v>PA</v>
      </c>
      <c r="E3589" s="2">
        <v>1</v>
      </c>
      <c r="F3589" s="2">
        <v>1</v>
      </c>
      <c r="G3589" s="2">
        <v>1</v>
      </c>
      <c r="H3589" s="2">
        <v>1</v>
      </c>
    </row>
    <row r="3590" spans="1:8" x14ac:dyDescent="0.25">
      <c r="A3590" s="1" t="str">
        <f>"19406"</f>
        <v>19406</v>
      </c>
      <c r="B3590" s="1" t="str">
        <f>"33874"</f>
        <v>33874</v>
      </c>
      <c r="C3590" s="1" t="str">
        <f>"KING OF PRUSSIA"</f>
        <v>KING OF PRUSSIA</v>
      </c>
      <c r="D3590" s="1" t="str">
        <f t="shared" si="266"/>
        <v>PA</v>
      </c>
      <c r="E3590" s="2">
        <v>1</v>
      </c>
      <c r="F3590" s="2">
        <v>1</v>
      </c>
      <c r="G3590" s="2">
        <v>1</v>
      </c>
      <c r="H3590" s="2">
        <v>1</v>
      </c>
    </row>
    <row r="3591" spans="1:8" x14ac:dyDescent="0.25">
      <c r="A3591" s="1" t="str">
        <f>"19806"</f>
        <v>19806</v>
      </c>
      <c r="B3591" s="1" t="str">
        <f>"48864"</f>
        <v>48864</v>
      </c>
      <c r="C3591" s="1" t="str">
        <f>"WILMINGTON"</f>
        <v>WILMINGTON</v>
      </c>
      <c r="D3591" s="1" t="str">
        <f>"DE"</f>
        <v>DE</v>
      </c>
      <c r="E3591" s="2">
        <v>1</v>
      </c>
      <c r="F3591" s="2">
        <v>1</v>
      </c>
      <c r="G3591" s="2">
        <v>1</v>
      </c>
      <c r="H3591" s="2">
        <v>1</v>
      </c>
    </row>
    <row r="3592" spans="1:8" x14ac:dyDescent="0.25">
      <c r="A3592" s="1" t="str">
        <f>"20037"</f>
        <v>20037</v>
      </c>
      <c r="B3592" s="1" t="str">
        <f>"47894"</f>
        <v>47894</v>
      </c>
      <c r="C3592" s="1" t="str">
        <f>"WASHINGTON"</f>
        <v>WASHINGTON</v>
      </c>
      <c r="D3592" s="1" t="str">
        <f>"DC"</f>
        <v>DC</v>
      </c>
      <c r="E3592" s="2">
        <v>1</v>
      </c>
      <c r="F3592" s="2">
        <v>1</v>
      </c>
      <c r="G3592" s="2">
        <v>1</v>
      </c>
      <c r="H3592" s="2">
        <v>1</v>
      </c>
    </row>
    <row r="3593" spans="1:8" x14ac:dyDescent="0.25">
      <c r="A3593" s="1" t="str">
        <f>"20132"</f>
        <v>20132</v>
      </c>
      <c r="B3593" s="1" t="str">
        <f>"47894"</f>
        <v>47894</v>
      </c>
      <c r="C3593" s="1" t="str">
        <f>"PURCELLVILLE"</f>
        <v>PURCELLVILLE</v>
      </c>
      <c r="D3593" s="1" t="str">
        <f>"VA"</f>
        <v>VA</v>
      </c>
      <c r="E3593" s="2">
        <v>1</v>
      </c>
      <c r="F3593" s="2">
        <v>1</v>
      </c>
      <c r="G3593" s="2">
        <v>1</v>
      </c>
      <c r="H3593" s="2">
        <v>1</v>
      </c>
    </row>
    <row r="3594" spans="1:8" x14ac:dyDescent="0.25">
      <c r="A3594" s="1" t="str">
        <f>"20115"</f>
        <v>20115</v>
      </c>
      <c r="B3594" s="1" t="str">
        <f>"47894"</f>
        <v>47894</v>
      </c>
      <c r="C3594" s="1" t="str">
        <f>"MARSHALL"</f>
        <v>MARSHALL</v>
      </c>
      <c r="D3594" s="1" t="str">
        <f>"VA"</f>
        <v>VA</v>
      </c>
      <c r="E3594" s="2">
        <v>1</v>
      </c>
      <c r="F3594" s="2">
        <v>1</v>
      </c>
      <c r="G3594" s="2">
        <v>1</v>
      </c>
      <c r="H3594" s="2">
        <v>1</v>
      </c>
    </row>
    <row r="3595" spans="1:8" x14ac:dyDescent="0.25">
      <c r="A3595" s="1" t="str">
        <f>"22153"</f>
        <v>22153</v>
      </c>
      <c r="B3595" s="1" t="str">
        <f>"47894"</f>
        <v>47894</v>
      </c>
      <c r="C3595" s="1" t="str">
        <f>"SPRINGFIELD"</f>
        <v>SPRINGFIELD</v>
      </c>
      <c r="D3595" s="1" t="str">
        <f>"VA"</f>
        <v>VA</v>
      </c>
      <c r="E3595" s="2">
        <v>1</v>
      </c>
      <c r="F3595" s="2">
        <v>1</v>
      </c>
      <c r="G3595" s="2">
        <v>1</v>
      </c>
      <c r="H3595" s="2">
        <v>1</v>
      </c>
    </row>
    <row r="3596" spans="1:8" x14ac:dyDescent="0.25">
      <c r="A3596" s="1" t="str">
        <f>"22194"</f>
        <v>22194</v>
      </c>
      <c r="B3596" s="1" t="str">
        <f>"47894"</f>
        <v>47894</v>
      </c>
      <c r="C3596" s="1" t="str">
        <f>"WOODBRIDGE"</f>
        <v>WOODBRIDGE</v>
      </c>
      <c r="D3596" s="1" t="str">
        <f>"VA"</f>
        <v>VA</v>
      </c>
      <c r="E3596" s="2">
        <v>1</v>
      </c>
      <c r="F3596" s="2">
        <v>1</v>
      </c>
      <c r="G3596" s="2">
        <v>1</v>
      </c>
      <c r="H3596" s="2">
        <v>1</v>
      </c>
    </row>
    <row r="3597" spans="1:8" x14ac:dyDescent="0.25">
      <c r="A3597" s="1" t="str">
        <f>"33131"</f>
        <v>33131</v>
      </c>
      <c r="B3597" s="1" t="str">
        <f>"33124"</f>
        <v>33124</v>
      </c>
      <c r="C3597" s="1" t="str">
        <f>"MIAMI"</f>
        <v>MIAMI</v>
      </c>
      <c r="D3597" s="1" t="str">
        <f t="shared" ref="D3597:D3603" si="267">"FL"</f>
        <v>FL</v>
      </c>
      <c r="E3597" s="2">
        <v>1</v>
      </c>
      <c r="F3597" s="2">
        <v>1</v>
      </c>
      <c r="G3597" s="2">
        <v>1</v>
      </c>
      <c r="H3597" s="2">
        <v>1</v>
      </c>
    </row>
    <row r="3598" spans="1:8" x14ac:dyDescent="0.25">
      <c r="A3598" s="1" t="str">
        <f>"33325"</f>
        <v>33325</v>
      </c>
      <c r="B3598" s="1" t="str">
        <f>"22744"</f>
        <v>22744</v>
      </c>
      <c r="C3598" s="1" t="str">
        <f>"FORT LAUDERDALE"</f>
        <v>FORT LAUDERDALE</v>
      </c>
      <c r="D3598" s="1" t="str">
        <f t="shared" si="267"/>
        <v>FL</v>
      </c>
      <c r="E3598" s="2">
        <v>1</v>
      </c>
      <c r="F3598" s="2">
        <v>1</v>
      </c>
      <c r="G3598" s="2">
        <v>1</v>
      </c>
      <c r="H3598" s="2">
        <v>1</v>
      </c>
    </row>
    <row r="3599" spans="1:8" x14ac:dyDescent="0.25">
      <c r="A3599" s="1" t="str">
        <f>"33334"</f>
        <v>33334</v>
      </c>
      <c r="B3599" s="1" t="str">
        <f>"22744"</f>
        <v>22744</v>
      </c>
      <c r="C3599" s="1" t="str">
        <f>"FORT LAUDERDALE"</f>
        <v>FORT LAUDERDALE</v>
      </c>
      <c r="D3599" s="1" t="str">
        <f t="shared" si="267"/>
        <v>FL</v>
      </c>
      <c r="E3599" s="2">
        <v>1</v>
      </c>
      <c r="F3599" s="2">
        <v>1</v>
      </c>
      <c r="G3599" s="2">
        <v>1</v>
      </c>
      <c r="H3599" s="2">
        <v>1</v>
      </c>
    </row>
    <row r="3600" spans="1:8" x14ac:dyDescent="0.25">
      <c r="A3600" s="1" t="str">
        <f>"33170"</f>
        <v>33170</v>
      </c>
      <c r="B3600" s="1" t="str">
        <f>"33124"</f>
        <v>33124</v>
      </c>
      <c r="C3600" s="1" t="str">
        <f>"MIAMI"</f>
        <v>MIAMI</v>
      </c>
      <c r="D3600" s="1" t="str">
        <f t="shared" si="267"/>
        <v>FL</v>
      </c>
      <c r="E3600" s="2">
        <v>1</v>
      </c>
      <c r="F3600" s="2">
        <v>1</v>
      </c>
      <c r="G3600" s="2">
        <v>1</v>
      </c>
      <c r="H3600" s="2">
        <v>1</v>
      </c>
    </row>
    <row r="3601" spans="1:8" x14ac:dyDescent="0.25">
      <c r="A3601" s="1" t="str">
        <f>"33162"</f>
        <v>33162</v>
      </c>
      <c r="B3601" s="1" t="str">
        <f>"33124"</f>
        <v>33124</v>
      </c>
      <c r="C3601" s="1" t="str">
        <f>"MIAMI"</f>
        <v>MIAMI</v>
      </c>
      <c r="D3601" s="1" t="str">
        <f t="shared" si="267"/>
        <v>FL</v>
      </c>
      <c r="E3601" s="2">
        <v>1</v>
      </c>
      <c r="F3601" s="2">
        <v>1</v>
      </c>
      <c r="G3601" s="2">
        <v>1</v>
      </c>
      <c r="H3601" s="2">
        <v>1</v>
      </c>
    </row>
    <row r="3602" spans="1:8" x14ac:dyDescent="0.25">
      <c r="A3602" s="1" t="str">
        <f>"33445"</f>
        <v>33445</v>
      </c>
      <c r="B3602" s="1" t="str">
        <f>"48424"</f>
        <v>48424</v>
      </c>
      <c r="C3602" s="1" t="str">
        <f>"DELRAY BEACH"</f>
        <v>DELRAY BEACH</v>
      </c>
      <c r="D3602" s="1" t="str">
        <f t="shared" si="267"/>
        <v>FL</v>
      </c>
      <c r="E3602" s="2">
        <v>1</v>
      </c>
      <c r="F3602" s="2">
        <v>1</v>
      </c>
      <c r="G3602" s="2">
        <v>1</v>
      </c>
      <c r="H3602" s="2">
        <v>1</v>
      </c>
    </row>
    <row r="3603" spans="1:8" x14ac:dyDescent="0.25">
      <c r="A3603" s="1" t="str">
        <f>"33311"</f>
        <v>33311</v>
      </c>
      <c r="B3603" s="1" t="str">
        <f>"22744"</f>
        <v>22744</v>
      </c>
      <c r="C3603" s="1" t="str">
        <f>"FORT LAUDERDALE"</f>
        <v>FORT LAUDERDALE</v>
      </c>
      <c r="D3603" s="1" t="str">
        <f t="shared" si="267"/>
        <v>FL</v>
      </c>
      <c r="E3603" s="2">
        <v>1</v>
      </c>
      <c r="F3603" s="2">
        <v>1</v>
      </c>
      <c r="G3603" s="2">
        <v>1</v>
      </c>
      <c r="H3603" s="2">
        <v>1</v>
      </c>
    </row>
    <row r="3604" spans="1:8" x14ac:dyDescent="0.25">
      <c r="A3604" s="1" t="str">
        <f>"25442"</f>
        <v>25442</v>
      </c>
      <c r="B3604" s="1" t="str">
        <f>"47894"</f>
        <v>47894</v>
      </c>
      <c r="C3604" s="1" t="str">
        <f>"SHENANDOAH JUNCTION"</f>
        <v>SHENANDOAH JUNCTION</v>
      </c>
      <c r="D3604" s="1" t="str">
        <f>"WV"</f>
        <v>WV</v>
      </c>
      <c r="E3604" s="2">
        <v>1</v>
      </c>
      <c r="F3604" s="2">
        <v>1</v>
      </c>
      <c r="G3604" s="2">
        <v>1</v>
      </c>
      <c r="H3604" s="2">
        <v>1</v>
      </c>
    </row>
    <row r="3605" spans="1:8" x14ac:dyDescent="0.25">
      <c r="A3605" s="1" t="str">
        <f>"48343"</f>
        <v>48343</v>
      </c>
      <c r="B3605" s="1" t="str">
        <f>"47664"</f>
        <v>47664</v>
      </c>
      <c r="C3605" s="1" t="str">
        <f>"PONTIAC"</f>
        <v>PONTIAC</v>
      </c>
      <c r="D3605" s="1" t="str">
        <f t="shared" ref="D3605:D3610" si="268">"MI"</f>
        <v>MI</v>
      </c>
      <c r="E3605" s="2">
        <v>1</v>
      </c>
      <c r="F3605" s="2">
        <v>1</v>
      </c>
      <c r="G3605" s="2">
        <v>1</v>
      </c>
      <c r="H3605" s="2">
        <v>1</v>
      </c>
    </row>
    <row r="3606" spans="1:8" x14ac:dyDescent="0.25">
      <c r="A3606" s="1" t="str">
        <f>"48331"</f>
        <v>48331</v>
      </c>
      <c r="B3606" s="1" t="str">
        <f>"47664"</f>
        <v>47664</v>
      </c>
      <c r="C3606" s="1" t="str">
        <f>"FARMINGTON"</f>
        <v>FARMINGTON</v>
      </c>
      <c r="D3606" s="1" t="str">
        <f t="shared" si="268"/>
        <v>MI</v>
      </c>
      <c r="E3606" s="2">
        <v>1</v>
      </c>
      <c r="F3606" s="2">
        <v>1</v>
      </c>
      <c r="G3606" s="2">
        <v>1</v>
      </c>
      <c r="H3606" s="2">
        <v>1</v>
      </c>
    </row>
    <row r="3607" spans="1:8" x14ac:dyDescent="0.25">
      <c r="A3607" s="1" t="str">
        <f>"48313"</f>
        <v>48313</v>
      </c>
      <c r="B3607" s="1" t="str">
        <f>"47664"</f>
        <v>47664</v>
      </c>
      <c r="C3607" s="1" t="str">
        <f>"STERLING HEIGHTS"</f>
        <v>STERLING HEIGHTS</v>
      </c>
      <c r="D3607" s="1" t="str">
        <f t="shared" si="268"/>
        <v>MI</v>
      </c>
      <c r="E3607" s="2">
        <v>1</v>
      </c>
      <c r="F3607" s="2">
        <v>1</v>
      </c>
      <c r="G3607" s="2">
        <v>1</v>
      </c>
      <c r="H3607" s="2">
        <v>1</v>
      </c>
    </row>
    <row r="3608" spans="1:8" x14ac:dyDescent="0.25">
      <c r="A3608" s="1" t="str">
        <f>"48237"</f>
        <v>48237</v>
      </c>
      <c r="B3608" s="1" t="str">
        <f>"47664"</f>
        <v>47664</v>
      </c>
      <c r="C3608" s="1" t="str">
        <f>"OAK PARK"</f>
        <v>OAK PARK</v>
      </c>
      <c r="D3608" s="1" t="str">
        <f t="shared" si="268"/>
        <v>MI</v>
      </c>
      <c r="E3608" s="2">
        <v>1</v>
      </c>
      <c r="F3608" s="2">
        <v>1</v>
      </c>
      <c r="G3608" s="2">
        <v>1</v>
      </c>
      <c r="H3608" s="2">
        <v>1</v>
      </c>
    </row>
    <row r="3609" spans="1:8" x14ac:dyDescent="0.25">
      <c r="A3609" s="1" t="str">
        <f>"48185"</f>
        <v>48185</v>
      </c>
      <c r="B3609" s="1" t="str">
        <f>"19804"</f>
        <v>19804</v>
      </c>
      <c r="C3609" s="1" t="str">
        <f>"WESTLAND"</f>
        <v>WESTLAND</v>
      </c>
      <c r="D3609" s="1" t="str">
        <f t="shared" si="268"/>
        <v>MI</v>
      </c>
      <c r="E3609" s="2">
        <v>1</v>
      </c>
      <c r="F3609" s="2">
        <v>1</v>
      </c>
      <c r="G3609" s="2">
        <v>1</v>
      </c>
      <c r="H3609" s="2">
        <v>1</v>
      </c>
    </row>
    <row r="3610" spans="1:8" x14ac:dyDescent="0.25">
      <c r="A3610" s="1" t="str">
        <f>"48455"</f>
        <v>48455</v>
      </c>
      <c r="B3610" s="1" t="str">
        <f>"47664"</f>
        <v>47664</v>
      </c>
      <c r="C3610" s="1" t="str">
        <f>"METAMORA"</f>
        <v>METAMORA</v>
      </c>
      <c r="D3610" s="1" t="str">
        <f t="shared" si="268"/>
        <v>MI</v>
      </c>
      <c r="E3610" s="2">
        <v>1</v>
      </c>
      <c r="F3610" s="2">
        <v>1</v>
      </c>
      <c r="G3610" s="2">
        <v>1</v>
      </c>
      <c r="H3610" s="2">
        <v>1</v>
      </c>
    </row>
    <row r="3611" spans="1:8" x14ac:dyDescent="0.25">
      <c r="A3611" s="1" t="str">
        <f>"53143"</f>
        <v>53143</v>
      </c>
      <c r="B3611" s="1" t="str">
        <f>"29404"</f>
        <v>29404</v>
      </c>
      <c r="C3611" s="1" t="str">
        <f>"KENOSHA"</f>
        <v>KENOSHA</v>
      </c>
      <c r="D3611" s="1" t="str">
        <f>"WI"</f>
        <v>WI</v>
      </c>
      <c r="E3611" s="2">
        <v>1</v>
      </c>
      <c r="F3611" s="2">
        <v>1</v>
      </c>
      <c r="G3611" s="2">
        <v>1</v>
      </c>
      <c r="H3611" s="2">
        <v>1</v>
      </c>
    </row>
    <row r="3612" spans="1:8" x14ac:dyDescent="0.25">
      <c r="A3612" s="1" t="str">
        <f>"60409"</f>
        <v>60409</v>
      </c>
      <c r="B3612" s="1" t="str">
        <f>"16984"</f>
        <v>16984</v>
      </c>
      <c r="C3612" s="1" t="str">
        <f>"CALUMET CITY"</f>
        <v>CALUMET CITY</v>
      </c>
      <c r="D3612" s="1" t="str">
        <f t="shared" ref="D3612:D3619" si="269">"IL"</f>
        <v>IL</v>
      </c>
      <c r="E3612" s="2">
        <v>1</v>
      </c>
      <c r="F3612" s="2">
        <v>1</v>
      </c>
      <c r="G3612" s="2">
        <v>1</v>
      </c>
      <c r="H3612" s="2">
        <v>1</v>
      </c>
    </row>
    <row r="3613" spans="1:8" x14ac:dyDescent="0.25">
      <c r="A3613" s="1" t="str">
        <f>"60428"</f>
        <v>60428</v>
      </c>
      <c r="B3613" s="1" t="str">
        <f>"16984"</f>
        <v>16984</v>
      </c>
      <c r="C3613" s="1" t="str">
        <f>"MARKHAM"</f>
        <v>MARKHAM</v>
      </c>
      <c r="D3613" s="1" t="str">
        <f t="shared" si="269"/>
        <v>IL</v>
      </c>
      <c r="E3613" s="2">
        <v>1</v>
      </c>
      <c r="F3613" s="2">
        <v>1</v>
      </c>
      <c r="G3613" s="2">
        <v>1</v>
      </c>
      <c r="H3613" s="2">
        <v>1</v>
      </c>
    </row>
    <row r="3614" spans="1:8" x14ac:dyDescent="0.25">
      <c r="A3614" s="1" t="str">
        <f>"60510"</f>
        <v>60510</v>
      </c>
      <c r="B3614" s="1" t="str">
        <f>"20994"</f>
        <v>20994</v>
      </c>
      <c r="C3614" s="1" t="str">
        <f>"BATAVIA"</f>
        <v>BATAVIA</v>
      </c>
      <c r="D3614" s="1" t="str">
        <f t="shared" si="269"/>
        <v>IL</v>
      </c>
      <c r="E3614" s="2">
        <v>1</v>
      </c>
      <c r="F3614" s="2">
        <v>1</v>
      </c>
      <c r="G3614" s="2">
        <v>1</v>
      </c>
      <c r="H3614" s="2">
        <v>1</v>
      </c>
    </row>
    <row r="3615" spans="1:8" x14ac:dyDescent="0.25">
      <c r="A3615" s="1" t="str">
        <f>"60131"</f>
        <v>60131</v>
      </c>
      <c r="B3615" s="1" t="str">
        <f>"16984"</f>
        <v>16984</v>
      </c>
      <c r="C3615" s="1" t="str">
        <f>"FRANKLIN PARK"</f>
        <v>FRANKLIN PARK</v>
      </c>
      <c r="D3615" s="1" t="str">
        <f t="shared" si="269"/>
        <v>IL</v>
      </c>
      <c r="E3615" s="2">
        <v>1</v>
      </c>
      <c r="F3615" s="2">
        <v>1</v>
      </c>
      <c r="G3615" s="2">
        <v>1</v>
      </c>
      <c r="H3615" s="2">
        <v>1</v>
      </c>
    </row>
    <row r="3616" spans="1:8" x14ac:dyDescent="0.25">
      <c r="A3616" s="1" t="str">
        <f>"60150"</f>
        <v>60150</v>
      </c>
      <c r="B3616" s="1" t="str">
        <f>"20994"</f>
        <v>20994</v>
      </c>
      <c r="C3616" s="1" t="str">
        <f>"MALTA"</f>
        <v>MALTA</v>
      </c>
      <c r="D3616" s="1" t="str">
        <f t="shared" si="269"/>
        <v>IL</v>
      </c>
      <c r="E3616" s="2">
        <v>1</v>
      </c>
      <c r="F3616" s="2">
        <v>1</v>
      </c>
      <c r="G3616" s="2">
        <v>1</v>
      </c>
      <c r="H3616" s="2">
        <v>1</v>
      </c>
    </row>
    <row r="3617" spans="1:8" x14ac:dyDescent="0.25">
      <c r="A3617" s="1" t="str">
        <f>"60660"</f>
        <v>60660</v>
      </c>
      <c r="B3617" s="1" t="str">
        <f>"16984"</f>
        <v>16984</v>
      </c>
      <c r="C3617" s="1" t="str">
        <f>"CHICAGO"</f>
        <v>CHICAGO</v>
      </c>
      <c r="D3617" s="1" t="str">
        <f t="shared" si="269"/>
        <v>IL</v>
      </c>
      <c r="E3617" s="2">
        <v>1</v>
      </c>
      <c r="F3617" s="2">
        <v>1</v>
      </c>
      <c r="G3617" s="2">
        <v>1</v>
      </c>
      <c r="H3617" s="2">
        <v>1</v>
      </c>
    </row>
    <row r="3618" spans="1:8" x14ac:dyDescent="0.25">
      <c r="A3618" s="1" t="str">
        <f>"60634"</f>
        <v>60634</v>
      </c>
      <c r="B3618" s="1" t="str">
        <f>"16984"</f>
        <v>16984</v>
      </c>
      <c r="C3618" s="1" t="str">
        <f>"CHICAGO"</f>
        <v>CHICAGO</v>
      </c>
      <c r="D3618" s="1" t="str">
        <f t="shared" si="269"/>
        <v>IL</v>
      </c>
      <c r="E3618" s="2">
        <v>1</v>
      </c>
      <c r="F3618" s="2">
        <v>1</v>
      </c>
      <c r="G3618" s="2">
        <v>1</v>
      </c>
      <c r="H3618" s="2">
        <v>1</v>
      </c>
    </row>
    <row r="3619" spans="1:8" x14ac:dyDescent="0.25">
      <c r="A3619" s="1" t="str">
        <f>"60632"</f>
        <v>60632</v>
      </c>
      <c r="B3619" s="1" t="str">
        <f>"16984"</f>
        <v>16984</v>
      </c>
      <c r="C3619" s="1" t="str">
        <f>"CHICAGO"</f>
        <v>CHICAGO</v>
      </c>
      <c r="D3619" s="1" t="str">
        <f t="shared" si="269"/>
        <v>IL</v>
      </c>
      <c r="E3619" s="2">
        <v>1</v>
      </c>
      <c r="F3619" s="2">
        <v>1</v>
      </c>
      <c r="G3619" s="2">
        <v>1</v>
      </c>
      <c r="H3619" s="2">
        <v>1</v>
      </c>
    </row>
    <row r="3620" spans="1:8" x14ac:dyDescent="0.25">
      <c r="A3620" s="1" t="str">
        <f>"75009"</f>
        <v>75009</v>
      </c>
      <c r="B3620" s="1" t="str">
        <f t="shared" ref="B3620:B3625" si="270">"19124"</f>
        <v>19124</v>
      </c>
      <c r="C3620" s="1" t="str">
        <f>"CELINA"</f>
        <v>CELINA</v>
      </c>
      <c r="D3620" s="1" t="str">
        <f t="shared" ref="D3620:D3631" si="271">"TX"</f>
        <v>TX</v>
      </c>
      <c r="E3620" s="2">
        <v>1</v>
      </c>
      <c r="F3620" s="2">
        <v>1</v>
      </c>
      <c r="G3620" s="2">
        <v>1</v>
      </c>
      <c r="H3620" s="2">
        <v>1</v>
      </c>
    </row>
    <row r="3621" spans="1:8" x14ac:dyDescent="0.25">
      <c r="A3621" s="1" t="str">
        <f>"75216"</f>
        <v>75216</v>
      </c>
      <c r="B3621" s="1" t="str">
        <f t="shared" si="270"/>
        <v>19124</v>
      </c>
      <c r="C3621" s="1" t="str">
        <f>"DALLAS"</f>
        <v>DALLAS</v>
      </c>
      <c r="D3621" s="1" t="str">
        <f t="shared" si="271"/>
        <v>TX</v>
      </c>
      <c r="E3621" s="2">
        <v>1</v>
      </c>
      <c r="F3621" s="2">
        <v>1</v>
      </c>
      <c r="G3621" s="2">
        <v>1</v>
      </c>
      <c r="H3621" s="2">
        <v>1</v>
      </c>
    </row>
    <row r="3622" spans="1:8" x14ac:dyDescent="0.25">
      <c r="A3622" s="1" t="str">
        <f>"75224"</f>
        <v>75224</v>
      </c>
      <c r="B3622" s="1" t="str">
        <f t="shared" si="270"/>
        <v>19124</v>
      </c>
      <c r="C3622" s="1" t="str">
        <f>"DALLAS"</f>
        <v>DALLAS</v>
      </c>
      <c r="D3622" s="1" t="str">
        <f t="shared" si="271"/>
        <v>TX</v>
      </c>
      <c r="E3622" s="2">
        <v>1</v>
      </c>
      <c r="F3622" s="2">
        <v>1</v>
      </c>
      <c r="G3622" s="2">
        <v>1</v>
      </c>
      <c r="H3622" s="2">
        <v>1</v>
      </c>
    </row>
    <row r="3623" spans="1:8" x14ac:dyDescent="0.25">
      <c r="A3623" s="1" t="str">
        <f>"75077"</f>
        <v>75077</v>
      </c>
      <c r="B3623" s="1" t="str">
        <f t="shared" si="270"/>
        <v>19124</v>
      </c>
      <c r="C3623" s="1" t="str">
        <f>"LEWISVILLE"</f>
        <v>LEWISVILLE</v>
      </c>
      <c r="D3623" s="1" t="str">
        <f t="shared" si="271"/>
        <v>TX</v>
      </c>
      <c r="E3623" s="2">
        <v>1</v>
      </c>
      <c r="F3623" s="2">
        <v>1</v>
      </c>
      <c r="G3623" s="2">
        <v>1</v>
      </c>
      <c r="H3623" s="2">
        <v>1</v>
      </c>
    </row>
    <row r="3624" spans="1:8" x14ac:dyDescent="0.25">
      <c r="A3624" s="1" t="str">
        <f>"75204"</f>
        <v>75204</v>
      </c>
      <c r="B3624" s="1" t="str">
        <f t="shared" si="270"/>
        <v>19124</v>
      </c>
      <c r="C3624" s="1" t="str">
        <f>"DALLAS"</f>
        <v>DALLAS</v>
      </c>
      <c r="D3624" s="1" t="str">
        <f t="shared" si="271"/>
        <v>TX</v>
      </c>
      <c r="E3624" s="2">
        <v>1</v>
      </c>
      <c r="F3624" s="2">
        <v>1</v>
      </c>
      <c r="G3624" s="2">
        <v>1</v>
      </c>
      <c r="H3624" s="2">
        <v>1</v>
      </c>
    </row>
    <row r="3625" spans="1:8" x14ac:dyDescent="0.25">
      <c r="A3625" s="1" t="str">
        <f>"76078"</f>
        <v>76078</v>
      </c>
      <c r="B3625" s="1" t="str">
        <f t="shared" si="270"/>
        <v>19124</v>
      </c>
      <c r="C3625" s="1" t="str">
        <f>"RHOME"</f>
        <v>RHOME</v>
      </c>
      <c r="D3625" s="1" t="str">
        <f t="shared" si="271"/>
        <v>TX</v>
      </c>
      <c r="E3625" s="2">
        <v>6.5184815184815101E-2</v>
      </c>
      <c r="F3625" s="2">
        <v>0</v>
      </c>
      <c r="G3625" s="2">
        <v>0</v>
      </c>
      <c r="H3625" s="2">
        <v>6.1936402467963898E-2</v>
      </c>
    </row>
    <row r="3626" spans="1:8" x14ac:dyDescent="0.25">
      <c r="A3626" s="1" t="str">
        <f>"76078"</f>
        <v>76078</v>
      </c>
      <c r="B3626" s="1" t="str">
        <f>"23104"</f>
        <v>23104</v>
      </c>
      <c r="C3626" s="1" t="str">
        <f>"RHOME"</f>
        <v>RHOME</v>
      </c>
      <c r="D3626" s="1" t="str">
        <f t="shared" si="271"/>
        <v>TX</v>
      </c>
      <c r="E3626" s="2">
        <v>0.934815184815184</v>
      </c>
      <c r="F3626" s="2">
        <v>1</v>
      </c>
      <c r="G3626" s="2">
        <v>1</v>
      </c>
      <c r="H3626" s="2">
        <v>0.93806359753203605</v>
      </c>
    </row>
    <row r="3627" spans="1:8" x14ac:dyDescent="0.25">
      <c r="A3627" s="1" t="str">
        <f>"76209"</f>
        <v>76209</v>
      </c>
      <c r="B3627" s="1" t="str">
        <f>"19124"</f>
        <v>19124</v>
      </c>
      <c r="C3627" s="1" t="str">
        <f>"DENTON"</f>
        <v>DENTON</v>
      </c>
      <c r="D3627" s="1" t="str">
        <f t="shared" si="271"/>
        <v>TX</v>
      </c>
      <c r="E3627" s="2">
        <v>1</v>
      </c>
      <c r="F3627" s="2">
        <v>1</v>
      </c>
      <c r="G3627" s="2">
        <v>1</v>
      </c>
      <c r="H3627" s="2">
        <v>1</v>
      </c>
    </row>
    <row r="3628" spans="1:8" x14ac:dyDescent="0.25">
      <c r="A3628" s="1" t="str">
        <f>"76103"</f>
        <v>76103</v>
      </c>
      <c r="B3628" s="1" t="str">
        <f>"23104"</f>
        <v>23104</v>
      </c>
      <c r="C3628" s="1" t="str">
        <f>"FORT WORTH"</f>
        <v>FORT WORTH</v>
      </c>
      <c r="D3628" s="1" t="str">
        <f t="shared" si="271"/>
        <v>TX</v>
      </c>
      <c r="E3628" s="2">
        <v>1</v>
      </c>
      <c r="F3628" s="2">
        <v>1</v>
      </c>
      <c r="G3628" s="2">
        <v>1</v>
      </c>
      <c r="H3628" s="2">
        <v>1</v>
      </c>
    </row>
    <row r="3629" spans="1:8" x14ac:dyDescent="0.25">
      <c r="A3629" s="1" t="str">
        <f>"76248"</f>
        <v>76248</v>
      </c>
      <c r="B3629" s="1" t="str">
        <f>"23104"</f>
        <v>23104</v>
      </c>
      <c r="C3629" s="1" t="str">
        <f>"KELLER"</f>
        <v>KELLER</v>
      </c>
      <c r="D3629" s="1" t="str">
        <f t="shared" si="271"/>
        <v>TX</v>
      </c>
      <c r="E3629" s="2">
        <v>1</v>
      </c>
      <c r="F3629" s="2">
        <v>1</v>
      </c>
      <c r="G3629" s="2">
        <v>1</v>
      </c>
      <c r="H3629" s="2">
        <v>1</v>
      </c>
    </row>
    <row r="3630" spans="1:8" x14ac:dyDescent="0.25">
      <c r="A3630" s="1" t="str">
        <f>"76249"</f>
        <v>76249</v>
      </c>
      <c r="B3630" s="1" t="str">
        <f>"19124"</f>
        <v>19124</v>
      </c>
      <c r="C3630" s="1" t="str">
        <f>"KRUM"</f>
        <v>KRUM</v>
      </c>
      <c r="D3630" s="1" t="str">
        <f t="shared" si="271"/>
        <v>TX</v>
      </c>
      <c r="E3630" s="2">
        <v>0.99685463940687402</v>
      </c>
      <c r="F3630" s="2">
        <v>1</v>
      </c>
      <c r="G3630" s="2">
        <v>1</v>
      </c>
      <c r="H3630" s="2">
        <v>0.997058823529411</v>
      </c>
    </row>
    <row r="3631" spans="1:8" x14ac:dyDescent="0.25">
      <c r="A3631" s="1" t="str">
        <f>"76249"</f>
        <v>76249</v>
      </c>
      <c r="B3631" s="1" t="str">
        <f>"23104"</f>
        <v>23104</v>
      </c>
      <c r="C3631" s="1" t="str">
        <f>"KRUM"</f>
        <v>KRUM</v>
      </c>
      <c r="D3631" s="1" t="str">
        <f t="shared" si="271"/>
        <v>TX</v>
      </c>
      <c r="E3631" s="2">
        <v>3.14536059312514E-3</v>
      </c>
      <c r="F3631" s="2">
        <v>0</v>
      </c>
      <c r="G3631" s="2">
        <v>0</v>
      </c>
      <c r="H3631" s="2">
        <v>2.94117647058823E-3</v>
      </c>
    </row>
    <row r="3632" spans="1:8" x14ac:dyDescent="0.25">
      <c r="A3632" s="1" t="str">
        <f>"90032"</f>
        <v>90032</v>
      </c>
      <c r="B3632" s="1" t="str">
        <f t="shared" ref="B3632:B3644" si="272">"31084"</f>
        <v>31084</v>
      </c>
      <c r="C3632" s="1" t="str">
        <f>"LOS ANGELES"</f>
        <v>LOS ANGELES</v>
      </c>
      <c r="D3632" s="1" t="str">
        <f t="shared" ref="D3632:D3650" si="273">"CA"</f>
        <v>CA</v>
      </c>
      <c r="E3632" s="2">
        <v>1</v>
      </c>
      <c r="F3632" s="2">
        <v>1</v>
      </c>
      <c r="G3632" s="2">
        <v>1</v>
      </c>
      <c r="H3632" s="2">
        <v>1</v>
      </c>
    </row>
    <row r="3633" spans="1:8" x14ac:dyDescent="0.25">
      <c r="A3633" s="1" t="str">
        <f>"90241"</f>
        <v>90241</v>
      </c>
      <c r="B3633" s="1" t="str">
        <f t="shared" si="272"/>
        <v>31084</v>
      </c>
      <c r="C3633" s="1" t="str">
        <f>"DOWNEY"</f>
        <v>DOWNEY</v>
      </c>
      <c r="D3633" s="1" t="str">
        <f t="shared" si="273"/>
        <v>CA</v>
      </c>
      <c r="E3633" s="2">
        <v>1</v>
      </c>
      <c r="F3633" s="2">
        <v>1</v>
      </c>
      <c r="G3633" s="2">
        <v>1</v>
      </c>
      <c r="H3633" s="2">
        <v>1</v>
      </c>
    </row>
    <row r="3634" spans="1:8" x14ac:dyDescent="0.25">
      <c r="A3634" s="1" t="str">
        <f>"90014"</f>
        <v>90014</v>
      </c>
      <c r="B3634" s="1" t="str">
        <f t="shared" si="272"/>
        <v>31084</v>
      </c>
      <c r="C3634" s="1" t="str">
        <f>"LOS ANGELES"</f>
        <v>LOS ANGELES</v>
      </c>
      <c r="D3634" s="1" t="str">
        <f t="shared" si="273"/>
        <v>CA</v>
      </c>
      <c r="E3634" s="2">
        <v>1</v>
      </c>
      <c r="F3634" s="2">
        <v>1</v>
      </c>
      <c r="G3634" s="2">
        <v>1</v>
      </c>
      <c r="H3634" s="2">
        <v>1</v>
      </c>
    </row>
    <row r="3635" spans="1:8" x14ac:dyDescent="0.25">
      <c r="A3635" s="1" t="str">
        <f>"90016"</f>
        <v>90016</v>
      </c>
      <c r="B3635" s="1" t="str">
        <f t="shared" si="272"/>
        <v>31084</v>
      </c>
      <c r="C3635" s="1" t="str">
        <f>"LOS ANGELES"</f>
        <v>LOS ANGELES</v>
      </c>
      <c r="D3635" s="1" t="str">
        <f t="shared" si="273"/>
        <v>CA</v>
      </c>
      <c r="E3635" s="2">
        <v>1</v>
      </c>
      <c r="F3635" s="2">
        <v>1</v>
      </c>
      <c r="G3635" s="2">
        <v>1</v>
      </c>
      <c r="H3635" s="2">
        <v>1</v>
      </c>
    </row>
    <row r="3636" spans="1:8" x14ac:dyDescent="0.25">
      <c r="A3636" s="1" t="str">
        <f>"90049"</f>
        <v>90049</v>
      </c>
      <c r="B3636" s="1" t="str">
        <f t="shared" si="272"/>
        <v>31084</v>
      </c>
      <c r="C3636" s="1" t="str">
        <f>"LOS ANGELES"</f>
        <v>LOS ANGELES</v>
      </c>
      <c r="D3636" s="1" t="str">
        <f t="shared" si="273"/>
        <v>CA</v>
      </c>
      <c r="E3636" s="2">
        <v>1</v>
      </c>
      <c r="F3636" s="2">
        <v>1</v>
      </c>
      <c r="G3636" s="2">
        <v>1</v>
      </c>
      <c r="H3636" s="2">
        <v>1</v>
      </c>
    </row>
    <row r="3637" spans="1:8" x14ac:dyDescent="0.25">
      <c r="A3637" s="1" t="str">
        <f>"90255"</f>
        <v>90255</v>
      </c>
      <c r="B3637" s="1" t="str">
        <f t="shared" si="272"/>
        <v>31084</v>
      </c>
      <c r="C3637" s="1" t="str">
        <f>"HUNTINGTON PARK"</f>
        <v>HUNTINGTON PARK</v>
      </c>
      <c r="D3637" s="1" t="str">
        <f t="shared" si="273"/>
        <v>CA</v>
      </c>
      <c r="E3637" s="2">
        <v>1</v>
      </c>
      <c r="F3637" s="2">
        <v>1</v>
      </c>
      <c r="G3637" s="2">
        <v>1</v>
      </c>
      <c r="H3637" s="2">
        <v>1</v>
      </c>
    </row>
    <row r="3638" spans="1:8" x14ac:dyDescent="0.25">
      <c r="A3638" s="1" t="str">
        <f>"91350"</f>
        <v>91350</v>
      </c>
      <c r="B3638" s="1" t="str">
        <f t="shared" si="272"/>
        <v>31084</v>
      </c>
      <c r="C3638" s="1" t="str">
        <f>"SANTA CLARITA"</f>
        <v>SANTA CLARITA</v>
      </c>
      <c r="D3638" s="1" t="str">
        <f t="shared" si="273"/>
        <v>CA</v>
      </c>
      <c r="E3638" s="2">
        <v>1</v>
      </c>
      <c r="F3638" s="2">
        <v>1</v>
      </c>
      <c r="G3638" s="2">
        <v>1</v>
      </c>
      <c r="H3638" s="2">
        <v>1</v>
      </c>
    </row>
    <row r="3639" spans="1:8" x14ac:dyDescent="0.25">
      <c r="A3639" s="1" t="str">
        <f>"91607"</f>
        <v>91607</v>
      </c>
      <c r="B3639" s="1" t="str">
        <f t="shared" si="272"/>
        <v>31084</v>
      </c>
      <c r="C3639" s="1" t="str">
        <f>"VALLEY VILLAGE"</f>
        <v>VALLEY VILLAGE</v>
      </c>
      <c r="D3639" s="1" t="str">
        <f t="shared" si="273"/>
        <v>CA</v>
      </c>
      <c r="E3639" s="2">
        <v>1</v>
      </c>
      <c r="F3639" s="2">
        <v>1</v>
      </c>
      <c r="G3639" s="2">
        <v>1</v>
      </c>
      <c r="H3639" s="2">
        <v>1</v>
      </c>
    </row>
    <row r="3640" spans="1:8" x14ac:dyDescent="0.25">
      <c r="A3640" s="1" t="str">
        <f>"91327"</f>
        <v>91327</v>
      </c>
      <c r="B3640" s="1" t="str">
        <f t="shared" si="272"/>
        <v>31084</v>
      </c>
      <c r="C3640" s="1" t="str">
        <f>"NORTHRIDGE"</f>
        <v>NORTHRIDGE</v>
      </c>
      <c r="D3640" s="1" t="str">
        <f t="shared" si="273"/>
        <v>CA</v>
      </c>
      <c r="E3640" s="2">
        <v>1</v>
      </c>
      <c r="F3640" s="2">
        <v>1</v>
      </c>
      <c r="G3640" s="2">
        <v>1</v>
      </c>
      <c r="H3640" s="2">
        <v>1</v>
      </c>
    </row>
    <row r="3641" spans="1:8" x14ac:dyDescent="0.25">
      <c r="A3641" s="1" t="str">
        <f>"90504"</f>
        <v>90504</v>
      </c>
      <c r="B3641" s="1" t="str">
        <f t="shared" si="272"/>
        <v>31084</v>
      </c>
      <c r="C3641" s="1" t="str">
        <f>"TORRANCE"</f>
        <v>TORRANCE</v>
      </c>
      <c r="D3641" s="1" t="str">
        <f t="shared" si="273"/>
        <v>CA</v>
      </c>
      <c r="E3641" s="2">
        <v>1</v>
      </c>
      <c r="F3641" s="2">
        <v>1</v>
      </c>
      <c r="G3641" s="2">
        <v>1</v>
      </c>
      <c r="H3641" s="2">
        <v>1</v>
      </c>
    </row>
    <row r="3642" spans="1:8" x14ac:dyDescent="0.25">
      <c r="A3642" s="1" t="str">
        <f>"91406"</f>
        <v>91406</v>
      </c>
      <c r="B3642" s="1" t="str">
        <f t="shared" si="272"/>
        <v>31084</v>
      </c>
      <c r="C3642" s="1" t="str">
        <f>"VAN NUYS"</f>
        <v>VAN NUYS</v>
      </c>
      <c r="D3642" s="1" t="str">
        <f t="shared" si="273"/>
        <v>CA</v>
      </c>
      <c r="E3642" s="2">
        <v>1</v>
      </c>
      <c r="F3642" s="2">
        <v>1</v>
      </c>
      <c r="G3642" s="2">
        <v>1</v>
      </c>
      <c r="H3642" s="2">
        <v>1</v>
      </c>
    </row>
    <row r="3643" spans="1:8" x14ac:dyDescent="0.25">
      <c r="A3643" s="1" t="str">
        <f>"91003"</f>
        <v>91003</v>
      </c>
      <c r="B3643" s="1" t="str">
        <f t="shared" si="272"/>
        <v>31084</v>
      </c>
      <c r="C3643" s="1" t="str">
        <f>"ALTADENA"</f>
        <v>ALTADENA</v>
      </c>
      <c r="D3643" s="1" t="str">
        <f t="shared" si="273"/>
        <v>CA</v>
      </c>
      <c r="E3643" s="2">
        <v>1</v>
      </c>
      <c r="F3643" s="2">
        <v>1</v>
      </c>
      <c r="G3643" s="2">
        <v>1</v>
      </c>
      <c r="H3643" s="2">
        <v>1</v>
      </c>
    </row>
    <row r="3644" spans="1:8" x14ac:dyDescent="0.25">
      <c r="A3644" s="1" t="str">
        <f>"91732"</f>
        <v>91732</v>
      </c>
      <c r="B3644" s="1" t="str">
        <f t="shared" si="272"/>
        <v>31084</v>
      </c>
      <c r="C3644" s="1" t="str">
        <f>"EL MONTE"</f>
        <v>EL MONTE</v>
      </c>
      <c r="D3644" s="1" t="str">
        <f t="shared" si="273"/>
        <v>CA</v>
      </c>
      <c r="E3644" s="2">
        <v>1</v>
      </c>
      <c r="F3644" s="2">
        <v>1</v>
      </c>
      <c r="G3644" s="2">
        <v>1</v>
      </c>
      <c r="H3644" s="2">
        <v>1</v>
      </c>
    </row>
    <row r="3645" spans="1:8" x14ac:dyDescent="0.25">
      <c r="A3645" s="1" t="str">
        <f>"92863"</f>
        <v>92863</v>
      </c>
      <c r="B3645" s="1" t="str">
        <f>"11244"</f>
        <v>11244</v>
      </c>
      <c r="C3645" s="1" t="str">
        <f>"ORANGE"</f>
        <v>ORANGE</v>
      </c>
      <c r="D3645" s="1" t="str">
        <f t="shared" si="273"/>
        <v>CA</v>
      </c>
      <c r="E3645" s="2">
        <v>1</v>
      </c>
      <c r="F3645" s="2">
        <v>1</v>
      </c>
      <c r="G3645" s="2">
        <v>1</v>
      </c>
      <c r="H3645" s="2">
        <v>1</v>
      </c>
    </row>
    <row r="3646" spans="1:8" x14ac:dyDescent="0.25">
      <c r="A3646" s="1" t="str">
        <f>"94509"</f>
        <v>94509</v>
      </c>
      <c r="B3646" s="1" t="str">
        <f>"36084"</f>
        <v>36084</v>
      </c>
      <c r="C3646" s="1" t="str">
        <f>"ANTIOCH"</f>
        <v>ANTIOCH</v>
      </c>
      <c r="D3646" s="1" t="str">
        <f t="shared" si="273"/>
        <v>CA</v>
      </c>
      <c r="E3646" s="2">
        <v>1</v>
      </c>
      <c r="F3646" s="2">
        <v>1</v>
      </c>
      <c r="G3646" s="2">
        <v>1</v>
      </c>
      <c r="H3646" s="2">
        <v>1</v>
      </c>
    </row>
    <row r="3647" spans="1:8" x14ac:dyDescent="0.25">
      <c r="A3647" s="1" t="str">
        <f>"94130"</f>
        <v>94130</v>
      </c>
      <c r="B3647" s="1" t="str">
        <f>"41884"</f>
        <v>41884</v>
      </c>
      <c r="C3647" s="1" t="str">
        <f>"SAN FRANCISCO"</f>
        <v>SAN FRANCISCO</v>
      </c>
      <c r="D3647" s="1" t="str">
        <f t="shared" si="273"/>
        <v>CA</v>
      </c>
      <c r="E3647" s="2">
        <v>1</v>
      </c>
      <c r="F3647" s="2">
        <v>1</v>
      </c>
      <c r="G3647" s="2">
        <v>1</v>
      </c>
      <c r="H3647" s="2">
        <v>1</v>
      </c>
    </row>
    <row r="3648" spans="1:8" x14ac:dyDescent="0.25">
      <c r="A3648" s="1" t="str">
        <f>"94556"</f>
        <v>94556</v>
      </c>
      <c r="B3648" s="1" t="str">
        <f>"36084"</f>
        <v>36084</v>
      </c>
      <c r="C3648" s="1" t="str">
        <f>"MORAGA"</f>
        <v>MORAGA</v>
      </c>
      <c r="D3648" s="1" t="str">
        <f t="shared" si="273"/>
        <v>CA</v>
      </c>
      <c r="E3648" s="2">
        <v>1</v>
      </c>
      <c r="F3648" s="2">
        <v>1</v>
      </c>
      <c r="G3648" s="2">
        <v>1</v>
      </c>
      <c r="H3648" s="2">
        <v>1</v>
      </c>
    </row>
    <row r="3649" spans="1:8" x14ac:dyDescent="0.25">
      <c r="A3649" s="1" t="str">
        <f>"94552"</f>
        <v>94552</v>
      </c>
      <c r="B3649" s="1" t="str">
        <f>"36084"</f>
        <v>36084</v>
      </c>
      <c r="C3649" s="1" t="str">
        <f>"CASTRO VALLEY"</f>
        <v>CASTRO VALLEY</v>
      </c>
      <c r="D3649" s="1" t="str">
        <f t="shared" si="273"/>
        <v>CA</v>
      </c>
      <c r="E3649" s="2">
        <v>1</v>
      </c>
      <c r="F3649" s="2">
        <v>1</v>
      </c>
      <c r="G3649" s="2">
        <v>1</v>
      </c>
      <c r="H3649" s="2">
        <v>1</v>
      </c>
    </row>
    <row r="3650" spans="1:8" x14ac:dyDescent="0.25">
      <c r="A3650" s="1" t="str">
        <f>"94602"</f>
        <v>94602</v>
      </c>
      <c r="B3650" s="1" t="str">
        <f>"36084"</f>
        <v>36084</v>
      </c>
      <c r="C3650" s="1" t="str">
        <f>"OAKLAND"</f>
        <v>OAKLAND</v>
      </c>
      <c r="D3650" s="1" t="str">
        <f t="shared" si="273"/>
        <v>CA</v>
      </c>
      <c r="E3650" s="2">
        <v>1</v>
      </c>
      <c r="F3650" s="2">
        <v>1</v>
      </c>
      <c r="G3650" s="2">
        <v>1</v>
      </c>
      <c r="H3650" s="2">
        <v>1</v>
      </c>
    </row>
    <row r="3651" spans="1:8" x14ac:dyDescent="0.25">
      <c r="A3651" s="1" t="str">
        <f>"98007"</f>
        <v>98007</v>
      </c>
      <c r="B3651" s="1" t="str">
        <f>"42644"</f>
        <v>42644</v>
      </c>
      <c r="C3651" s="1" t="str">
        <f>"BELLEVUE"</f>
        <v>BELLEVUE</v>
      </c>
      <c r="D3651" s="1" t="str">
        <f>"WA"</f>
        <v>WA</v>
      </c>
      <c r="E3651" s="2">
        <v>1</v>
      </c>
      <c r="F3651" s="2">
        <v>1</v>
      </c>
      <c r="G3651" s="2">
        <v>1</v>
      </c>
      <c r="H3651" s="2">
        <v>1</v>
      </c>
    </row>
    <row r="3652" spans="1:8" x14ac:dyDescent="0.25">
      <c r="A3652" s="1" t="str">
        <f>"98052"</f>
        <v>98052</v>
      </c>
      <c r="B3652" s="1" t="str">
        <f>"42644"</f>
        <v>42644</v>
      </c>
      <c r="C3652" s="1" t="str">
        <f>"REDMOND"</f>
        <v>REDMOND</v>
      </c>
      <c r="D3652" s="1" t="str">
        <f>"WA"</f>
        <v>WA</v>
      </c>
      <c r="E3652" s="2">
        <v>1</v>
      </c>
      <c r="F3652" s="2">
        <v>1</v>
      </c>
      <c r="G3652" s="2">
        <v>1</v>
      </c>
      <c r="H3652" s="2">
        <v>1</v>
      </c>
    </row>
    <row r="3653" spans="1:8" x14ac:dyDescent="0.25">
      <c r="A3653" s="1" t="str">
        <f>"98391"</f>
        <v>98391</v>
      </c>
      <c r="B3653" s="1" t="str">
        <f>"45104"</f>
        <v>45104</v>
      </c>
      <c r="C3653" s="1" t="str">
        <f>"BONNEY LAKE"</f>
        <v>BONNEY LAKE</v>
      </c>
      <c r="D3653" s="1" t="str">
        <f>"WA"</f>
        <v>WA</v>
      </c>
      <c r="E3653" s="2">
        <v>1</v>
      </c>
      <c r="F3653" s="2">
        <v>1</v>
      </c>
      <c r="G3653" s="2">
        <v>1</v>
      </c>
      <c r="H3653" s="2">
        <v>1</v>
      </c>
    </row>
    <row r="3654" spans="1:8" x14ac:dyDescent="0.25">
      <c r="A3654" s="1" t="str">
        <f>"98328"</f>
        <v>98328</v>
      </c>
      <c r="B3654" s="1" t="str">
        <f>"45104"</f>
        <v>45104</v>
      </c>
      <c r="C3654" s="1" t="str">
        <f>"EATONVILLE"</f>
        <v>EATONVILLE</v>
      </c>
      <c r="D3654" s="1" t="str">
        <f>"WA"</f>
        <v>WA</v>
      </c>
      <c r="E3654" s="2">
        <v>1</v>
      </c>
      <c r="F3654" s="2">
        <v>1</v>
      </c>
      <c r="G3654" s="2">
        <v>1</v>
      </c>
      <c r="H3654" s="2">
        <v>1</v>
      </c>
    </row>
    <row r="3655" spans="1:8" x14ac:dyDescent="0.25">
      <c r="A3655" s="1" t="str">
        <f>"98102"</f>
        <v>98102</v>
      </c>
      <c r="B3655" s="1" t="str">
        <f>"42644"</f>
        <v>42644</v>
      </c>
      <c r="C3655" s="1" t="str">
        <f>"SEATTLE"</f>
        <v>SEATTLE</v>
      </c>
      <c r="D3655" s="1" t="str">
        <f>"WA"</f>
        <v>WA</v>
      </c>
      <c r="E3655" s="2">
        <v>1</v>
      </c>
      <c r="F3655" s="2">
        <v>1</v>
      </c>
      <c r="G3655" s="2">
        <v>1</v>
      </c>
      <c r="H3655" s="2">
        <v>1</v>
      </c>
    </row>
    <row r="3656" spans="1:8" x14ac:dyDescent="0.25">
      <c r="A3656" s="1" t="str">
        <f>"02163"</f>
        <v>02163</v>
      </c>
      <c r="B3656" s="1" t="str">
        <f>"14454"</f>
        <v>14454</v>
      </c>
      <c r="C3656" s="1" t="str">
        <f>"BOSTON"</f>
        <v>BOSTON</v>
      </c>
      <c r="D3656" s="1" t="str">
        <f>"MA"</f>
        <v>MA</v>
      </c>
      <c r="E3656" s="2">
        <v>1</v>
      </c>
      <c r="F3656" s="2">
        <v>1</v>
      </c>
      <c r="G3656" s="2">
        <v>1</v>
      </c>
      <c r="H3656" s="2">
        <v>1</v>
      </c>
    </row>
    <row r="3657" spans="1:8" x14ac:dyDescent="0.25">
      <c r="A3657" s="1" t="str">
        <f>"07711"</f>
        <v>07711</v>
      </c>
      <c r="B3657" s="1" t="str">
        <f>"35154"</f>
        <v>35154</v>
      </c>
      <c r="C3657" s="1" t="str">
        <f>"ALLENHURST"</f>
        <v>ALLENHURST</v>
      </c>
      <c r="D3657" s="1" t="str">
        <f>"NJ"</f>
        <v>NJ</v>
      </c>
      <c r="E3657" s="2">
        <v>1</v>
      </c>
      <c r="F3657" s="2">
        <v>1</v>
      </c>
      <c r="G3657" s="2">
        <v>1</v>
      </c>
      <c r="H3657" s="2">
        <v>1</v>
      </c>
    </row>
    <row r="3658" spans="1:8" x14ac:dyDescent="0.25">
      <c r="A3658" s="1" t="str">
        <f>"07961"</f>
        <v>07961</v>
      </c>
      <c r="B3658" s="1" t="str">
        <f>"35084"</f>
        <v>35084</v>
      </c>
      <c r="C3658" s="1" t="str">
        <f>"CONVENT STATION"</f>
        <v>CONVENT STATION</v>
      </c>
      <c r="D3658" s="1" t="str">
        <f>"NJ"</f>
        <v>NJ</v>
      </c>
      <c r="E3658" s="2">
        <v>1</v>
      </c>
      <c r="F3658" s="2">
        <v>1</v>
      </c>
      <c r="G3658" s="2">
        <v>1</v>
      </c>
      <c r="H3658" s="2">
        <v>1</v>
      </c>
    </row>
    <row r="3659" spans="1:8" x14ac:dyDescent="0.25">
      <c r="A3659" s="1" t="str">
        <f>"08732"</f>
        <v>08732</v>
      </c>
      <c r="B3659" s="1" t="str">
        <f>"35154"</f>
        <v>35154</v>
      </c>
      <c r="C3659" s="1" t="str">
        <f>"ISLAND HEIGHTS"</f>
        <v>ISLAND HEIGHTS</v>
      </c>
      <c r="D3659" s="1" t="str">
        <f>"NJ"</f>
        <v>NJ</v>
      </c>
      <c r="E3659" s="2">
        <v>1</v>
      </c>
      <c r="F3659" s="2">
        <v>1</v>
      </c>
      <c r="G3659" s="2">
        <v>1</v>
      </c>
      <c r="H3659" s="2">
        <v>1</v>
      </c>
    </row>
    <row r="3660" spans="1:8" x14ac:dyDescent="0.25">
      <c r="A3660" s="1" t="str">
        <f>"20731"</f>
        <v>20731</v>
      </c>
      <c r="B3660" s="1" t="str">
        <f>"47894"</f>
        <v>47894</v>
      </c>
      <c r="C3660" s="1" t="str">
        <f>"CAPITOL HEIGHTS"</f>
        <v>CAPITOL HEIGHTS</v>
      </c>
      <c r="D3660" s="1" t="str">
        <f>"MD"</f>
        <v>MD</v>
      </c>
      <c r="E3660" s="2">
        <v>1</v>
      </c>
      <c r="F3660" s="2">
        <v>1</v>
      </c>
      <c r="G3660" s="2">
        <v>1</v>
      </c>
      <c r="H3660" s="2">
        <v>1</v>
      </c>
    </row>
    <row r="3661" spans="1:8" x14ac:dyDescent="0.25">
      <c r="A3661" s="1" t="str">
        <f>"21920"</f>
        <v>21920</v>
      </c>
      <c r="B3661" s="1" t="str">
        <f>"48864"</f>
        <v>48864</v>
      </c>
      <c r="C3661" s="1" t="str">
        <f>"ELK MILLS"</f>
        <v>ELK MILLS</v>
      </c>
      <c r="D3661" s="1" t="str">
        <f>"MD"</f>
        <v>MD</v>
      </c>
      <c r="E3661" s="2">
        <v>1</v>
      </c>
      <c r="F3661" s="2">
        <v>1</v>
      </c>
      <c r="G3661" s="2">
        <v>1</v>
      </c>
      <c r="H3661" s="2">
        <v>1</v>
      </c>
    </row>
    <row r="3662" spans="1:8" x14ac:dyDescent="0.25">
      <c r="A3662" s="1" t="str">
        <f>"20153"</f>
        <v>20153</v>
      </c>
      <c r="B3662" s="1" t="str">
        <f>"47894"</f>
        <v>47894</v>
      </c>
      <c r="C3662" s="1" t="str">
        <f>"CHANTILLY"</f>
        <v>CHANTILLY</v>
      </c>
      <c r="D3662" s="1" t="str">
        <f>"VA"</f>
        <v>VA</v>
      </c>
      <c r="E3662" s="2">
        <v>1</v>
      </c>
      <c r="F3662" s="2">
        <v>1</v>
      </c>
      <c r="G3662" s="2">
        <v>1</v>
      </c>
      <c r="H3662" s="2">
        <v>1</v>
      </c>
    </row>
    <row r="3663" spans="1:8" x14ac:dyDescent="0.25">
      <c r="A3663" s="1" t="str">
        <f>"33074"</f>
        <v>33074</v>
      </c>
      <c r="B3663" s="1" t="str">
        <f>"22744"</f>
        <v>22744</v>
      </c>
      <c r="C3663" s="1" t="str">
        <f>"POMPANO BEACH"</f>
        <v>POMPANO BEACH</v>
      </c>
      <c r="D3663" s="1" t="str">
        <f>"FL"</f>
        <v>FL</v>
      </c>
      <c r="E3663" s="2">
        <v>1</v>
      </c>
      <c r="F3663" s="2">
        <v>1</v>
      </c>
      <c r="G3663" s="2">
        <v>1</v>
      </c>
      <c r="H3663" s="2">
        <v>1</v>
      </c>
    </row>
    <row r="3664" spans="1:8" x14ac:dyDescent="0.25">
      <c r="A3664" s="1" t="str">
        <f>"47943"</f>
        <v>47943</v>
      </c>
      <c r="B3664" s="1" t="str">
        <f>"23844"</f>
        <v>23844</v>
      </c>
      <c r="C3664" s="1" t="str">
        <f>"FAIR OAKS"</f>
        <v>FAIR OAKS</v>
      </c>
      <c r="D3664" s="1" t="str">
        <f>"IN"</f>
        <v>IN</v>
      </c>
      <c r="E3664" s="2">
        <v>1</v>
      </c>
      <c r="F3664" s="2">
        <v>1</v>
      </c>
      <c r="G3664" s="2">
        <v>1</v>
      </c>
      <c r="H3664" s="2">
        <v>1</v>
      </c>
    </row>
    <row r="3665" spans="1:8" x14ac:dyDescent="0.25">
      <c r="A3665" s="1" t="str">
        <f>"75099"</f>
        <v>75099</v>
      </c>
      <c r="B3665" s="1" t="str">
        <f>"19124"</f>
        <v>19124</v>
      </c>
      <c r="C3665" s="1" t="str">
        <f>"COPPELL"</f>
        <v>COPPELL</v>
      </c>
      <c r="D3665" s="1" t="str">
        <f>"TX"</f>
        <v>TX</v>
      </c>
      <c r="E3665" s="2">
        <v>1</v>
      </c>
      <c r="F3665" s="2">
        <v>1</v>
      </c>
      <c r="G3665" s="2">
        <v>1</v>
      </c>
      <c r="H3665" s="2">
        <v>1</v>
      </c>
    </row>
    <row r="3666" spans="1:8" x14ac:dyDescent="0.25">
      <c r="A3666" s="1" t="str">
        <f>"91778"</f>
        <v>91778</v>
      </c>
      <c r="B3666" s="1" t="str">
        <f>"31084"</f>
        <v>31084</v>
      </c>
      <c r="C3666" s="1" t="str">
        <f>"SAN GABRIEL"</f>
        <v>SAN GABRIEL</v>
      </c>
      <c r="D3666" s="1" t="str">
        <f>"CA"</f>
        <v>CA</v>
      </c>
      <c r="E3666" s="2">
        <v>1</v>
      </c>
      <c r="F3666" s="2">
        <v>1</v>
      </c>
      <c r="G3666" s="2">
        <v>1</v>
      </c>
      <c r="H3666" s="2">
        <v>1</v>
      </c>
    </row>
    <row r="3667" spans="1:8" x14ac:dyDescent="0.25">
      <c r="A3667" s="1" t="str">
        <f>"92846"</f>
        <v>92846</v>
      </c>
      <c r="B3667" s="1" t="str">
        <f>"11244"</f>
        <v>11244</v>
      </c>
      <c r="C3667" s="1" t="str">
        <f>"GARDEN GROVE"</f>
        <v>GARDEN GROVE</v>
      </c>
      <c r="D3667" s="1" t="str">
        <f>"CA"</f>
        <v>CA</v>
      </c>
      <c r="E3667" s="2">
        <v>1</v>
      </c>
      <c r="F3667" s="2">
        <v>1</v>
      </c>
      <c r="G3667" s="2">
        <v>1</v>
      </c>
      <c r="H3667" s="2">
        <v>1</v>
      </c>
    </row>
    <row r="3668" spans="1:8" x14ac:dyDescent="0.25">
      <c r="A3668" s="1" t="str">
        <f>"02362"</f>
        <v>02362</v>
      </c>
      <c r="B3668" s="1" t="str">
        <f>"14454"</f>
        <v>14454</v>
      </c>
      <c r="C3668" s="1" t="str">
        <f>"PLYMOUTH"</f>
        <v>PLYMOUTH</v>
      </c>
      <c r="D3668" s="1" t="str">
        <f>"MA"</f>
        <v>MA</v>
      </c>
      <c r="E3668" s="2">
        <v>1</v>
      </c>
      <c r="F3668" s="2">
        <v>1</v>
      </c>
      <c r="G3668" s="2">
        <v>1</v>
      </c>
      <c r="H3668" s="2">
        <v>1</v>
      </c>
    </row>
    <row r="3669" spans="1:8" x14ac:dyDescent="0.25">
      <c r="A3669" s="1" t="str">
        <f>"07007"</f>
        <v>07007</v>
      </c>
      <c r="B3669" s="1" t="str">
        <f>"35084"</f>
        <v>35084</v>
      </c>
      <c r="C3669" s="1" t="str">
        <f>"CALDWELL"</f>
        <v>CALDWELL</v>
      </c>
      <c r="D3669" s="1" t="str">
        <f>"NJ"</f>
        <v>NJ</v>
      </c>
      <c r="E3669" s="2">
        <v>1</v>
      </c>
      <c r="F3669" s="2">
        <v>1</v>
      </c>
      <c r="G3669" s="2">
        <v>1</v>
      </c>
      <c r="H3669" s="2">
        <v>1</v>
      </c>
    </row>
    <row r="3670" spans="1:8" x14ac:dyDescent="0.25">
      <c r="A3670" s="1" t="str">
        <f>"19512"</f>
        <v>19512</v>
      </c>
      <c r="B3670" s="1" t="str">
        <f>"33874"</f>
        <v>33874</v>
      </c>
      <c r="C3670" s="1" t="str">
        <f>"BOYERTOWN"</f>
        <v>BOYERTOWN</v>
      </c>
      <c r="D3670" s="1" t="str">
        <f>"PA"</f>
        <v>PA</v>
      </c>
      <c r="E3670" s="2">
        <v>1</v>
      </c>
      <c r="F3670" s="2">
        <v>1</v>
      </c>
      <c r="G3670" s="2">
        <v>1</v>
      </c>
      <c r="H3670" s="2">
        <v>1</v>
      </c>
    </row>
    <row r="3671" spans="1:8" x14ac:dyDescent="0.25">
      <c r="A3671" s="1" t="str">
        <f>"33482"</f>
        <v>33482</v>
      </c>
      <c r="B3671" s="1" t="str">
        <f>"48424"</f>
        <v>48424</v>
      </c>
      <c r="C3671" s="1" t="str">
        <f>"DELRAY BEACH"</f>
        <v>DELRAY BEACH</v>
      </c>
      <c r="D3671" s="1" t="str">
        <f>"FL"</f>
        <v>FL</v>
      </c>
      <c r="E3671" s="2">
        <v>1</v>
      </c>
      <c r="F3671" s="2">
        <v>1</v>
      </c>
      <c r="G3671" s="2">
        <v>1</v>
      </c>
      <c r="H3671" s="2">
        <v>1</v>
      </c>
    </row>
    <row r="3672" spans="1:8" x14ac:dyDescent="0.25">
      <c r="A3672" s="1" t="str">
        <f>"94966"</f>
        <v>94966</v>
      </c>
      <c r="B3672" s="1" t="str">
        <f>"42034"</f>
        <v>42034</v>
      </c>
      <c r="C3672" s="1" t="str">
        <f>"SAUSALITO"</f>
        <v>SAUSALITO</v>
      </c>
      <c r="D3672" s="1" t="str">
        <f>"CA"</f>
        <v>CA</v>
      </c>
      <c r="E3672" s="2">
        <v>1</v>
      </c>
      <c r="F3672" s="2">
        <v>1</v>
      </c>
      <c r="G3672" s="2">
        <v>1</v>
      </c>
      <c r="H3672" s="2">
        <v>1</v>
      </c>
    </row>
    <row r="3673" spans="1:8" x14ac:dyDescent="0.25">
      <c r="A3673" s="1" t="str">
        <f>"08528"</f>
        <v>08528</v>
      </c>
      <c r="B3673" s="1" t="str">
        <f>"35154"</f>
        <v>35154</v>
      </c>
      <c r="C3673" s="1" t="str">
        <f>"KINGSTON"</f>
        <v>KINGSTON</v>
      </c>
      <c r="D3673" s="1" t="str">
        <f>"NJ"</f>
        <v>NJ</v>
      </c>
      <c r="E3673" s="2">
        <v>1</v>
      </c>
      <c r="F3673" s="2">
        <v>1</v>
      </c>
      <c r="G3673" s="2">
        <v>1</v>
      </c>
      <c r="H3673" s="2">
        <v>1</v>
      </c>
    </row>
    <row r="3674" spans="1:8" x14ac:dyDescent="0.25">
      <c r="A3674" s="1" t="str">
        <f>"48232"</f>
        <v>48232</v>
      </c>
      <c r="B3674" s="1" t="str">
        <f>"19804"</f>
        <v>19804</v>
      </c>
      <c r="C3674" s="1" t="str">
        <f>"DETROIT"</f>
        <v>DETROIT</v>
      </c>
      <c r="D3674" s="1" t="str">
        <f>"MI"</f>
        <v>MI</v>
      </c>
      <c r="E3674" s="2">
        <v>1</v>
      </c>
      <c r="F3674" s="2">
        <v>1</v>
      </c>
      <c r="G3674" s="2">
        <v>1</v>
      </c>
      <c r="H3674" s="2">
        <v>1</v>
      </c>
    </row>
    <row r="3675" spans="1:8" x14ac:dyDescent="0.25">
      <c r="A3675" s="1" t="str">
        <f>"92654"</f>
        <v>92654</v>
      </c>
      <c r="B3675" s="1" t="str">
        <f>"11244"</f>
        <v>11244</v>
      </c>
      <c r="C3675" s="1" t="str">
        <f>"LAGUNA HILLS"</f>
        <v>LAGUNA HILLS</v>
      </c>
      <c r="D3675" s="1" t="str">
        <f>"CA"</f>
        <v>CA</v>
      </c>
      <c r="E3675" s="2">
        <v>1</v>
      </c>
      <c r="F3675" s="2">
        <v>1</v>
      </c>
      <c r="G3675" s="2">
        <v>1</v>
      </c>
      <c r="H3675" s="2">
        <v>1</v>
      </c>
    </row>
    <row r="3676" spans="1:8" x14ac:dyDescent="0.25">
      <c r="A3676" s="1" t="str">
        <f>"20787"</f>
        <v>20787</v>
      </c>
      <c r="B3676" s="1" t="str">
        <f>"23224"</f>
        <v>23224</v>
      </c>
      <c r="C3676" s="1" t="str">
        <f>"HYATTSVILLE"</f>
        <v>HYATTSVILLE</v>
      </c>
      <c r="D3676" s="1" t="str">
        <f>"MD"</f>
        <v>MD</v>
      </c>
      <c r="E3676" s="2">
        <v>1</v>
      </c>
      <c r="F3676" s="2">
        <v>1</v>
      </c>
      <c r="G3676" s="2">
        <v>1</v>
      </c>
      <c r="H3676" s="2">
        <v>1</v>
      </c>
    </row>
    <row r="3677" spans="1:8" x14ac:dyDescent="0.25">
      <c r="A3677" s="1" t="str">
        <f>"03036"</f>
        <v>03036</v>
      </c>
      <c r="B3677" s="1" t="str">
        <f>"40484"</f>
        <v>40484</v>
      </c>
      <c r="C3677" s="1" t="str">
        <f>"CHESTER"</f>
        <v>CHESTER</v>
      </c>
      <c r="D3677" s="1" t="str">
        <f>"NH"</f>
        <v>NH</v>
      </c>
      <c r="E3677" s="2">
        <v>1</v>
      </c>
      <c r="F3677" s="2">
        <v>1</v>
      </c>
      <c r="G3677" s="2">
        <v>1</v>
      </c>
      <c r="H3677" s="2">
        <v>1</v>
      </c>
    </row>
    <row r="3678" spans="1:8" x14ac:dyDescent="0.25">
      <c r="A3678" s="1" t="str">
        <f>"07825"</f>
        <v>07825</v>
      </c>
      <c r="B3678" s="1" t="str">
        <f>"35084"</f>
        <v>35084</v>
      </c>
      <c r="C3678" s="1" t="str">
        <f>"BLAIRSTOWN"</f>
        <v>BLAIRSTOWN</v>
      </c>
      <c r="D3678" s="1" t="str">
        <f>"NJ"</f>
        <v>NJ</v>
      </c>
      <c r="E3678" s="2">
        <v>1</v>
      </c>
      <c r="F3678" s="2">
        <v>0</v>
      </c>
      <c r="G3678" s="2">
        <v>1</v>
      </c>
      <c r="H3678" s="2">
        <v>1</v>
      </c>
    </row>
    <row r="3679" spans="1:8" x14ac:dyDescent="0.25">
      <c r="A3679" s="1" t="str">
        <f>"20597"</f>
        <v>20597</v>
      </c>
      <c r="B3679" s="1" t="str">
        <f>"47894"</f>
        <v>47894</v>
      </c>
      <c r="C3679" s="1" t="str">
        <f>"WASHINGTON"</f>
        <v>WASHINGTON</v>
      </c>
      <c r="D3679" s="1" t="str">
        <f>"DC"</f>
        <v>DC</v>
      </c>
      <c r="E3679" s="2">
        <v>0</v>
      </c>
      <c r="F3679" s="2">
        <v>1</v>
      </c>
      <c r="G3679" s="2">
        <v>0</v>
      </c>
      <c r="H3679" s="2">
        <v>1</v>
      </c>
    </row>
    <row r="3680" spans="1:8" x14ac:dyDescent="0.25">
      <c r="A3680" s="1" t="str">
        <f>"20427"</f>
        <v>20427</v>
      </c>
      <c r="B3680" s="1" t="str">
        <f>"47894"</f>
        <v>47894</v>
      </c>
      <c r="C3680" s="1" t="str">
        <f>"WASHINGTON"</f>
        <v>WASHINGTON</v>
      </c>
      <c r="D3680" s="1" t="str">
        <f>"DC"</f>
        <v>DC</v>
      </c>
      <c r="E3680" s="2">
        <v>0</v>
      </c>
      <c r="F3680" s="2">
        <v>1</v>
      </c>
      <c r="G3680" s="2">
        <v>0</v>
      </c>
      <c r="H3680" s="2">
        <v>1</v>
      </c>
    </row>
    <row r="3681" spans="1:8" x14ac:dyDescent="0.25">
      <c r="A3681" s="1" t="str">
        <f>"11241"</f>
        <v>11241</v>
      </c>
      <c r="B3681" s="1" t="str">
        <f>"35614"</f>
        <v>35614</v>
      </c>
      <c r="C3681" s="1" t="str">
        <f>"BROOKLYN"</f>
        <v>BROOKLYN</v>
      </c>
      <c r="D3681" s="1" t="str">
        <f>"NY"</f>
        <v>NY</v>
      </c>
      <c r="E3681" s="2">
        <v>0</v>
      </c>
      <c r="F3681" s="2">
        <v>1</v>
      </c>
      <c r="G3681" s="2">
        <v>1</v>
      </c>
      <c r="H3681" s="2">
        <v>1</v>
      </c>
    </row>
    <row r="3682" spans="1:8" x14ac:dyDescent="0.25">
      <c r="A3682" s="1" t="str">
        <f>"60686"</f>
        <v>60686</v>
      </c>
      <c r="B3682" s="1" t="str">
        <f>"16984"</f>
        <v>16984</v>
      </c>
      <c r="C3682" s="1" t="str">
        <f>"CHICAGO"</f>
        <v>CHICAGO</v>
      </c>
      <c r="D3682" s="1" t="str">
        <f>"IL"</f>
        <v>IL</v>
      </c>
      <c r="E3682" s="2">
        <v>0</v>
      </c>
      <c r="F3682" s="2">
        <v>0</v>
      </c>
      <c r="G3682" s="2">
        <v>1</v>
      </c>
      <c r="H3682" s="2">
        <v>1</v>
      </c>
    </row>
    <row r="3683" spans="1:8" x14ac:dyDescent="0.25">
      <c r="A3683" s="1" t="str">
        <f>"48463"</f>
        <v>48463</v>
      </c>
      <c r="B3683" s="1" t="str">
        <f>"47664"</f>
        <v>47664</v>
      </c>
      <c r="C3683" s="1" t="str">
        <f>"OTISVILLE"</f>
        <v>OTISVILLE</v>
      </c>
      <c r="D3683" s="1" t="str">
        <f>"MI"</f>
        <v>MI</v>
      </c>
      <c r="E3683" s="2">
        <v>1</v>
      </c>
      <c r="F3683" s="2">
        <v>0</v>
      </c>
      <c r="G3683" s="2">
        <v>0</v>
      </c>
      <c r="H3683" s="2">
        <v>1</v>
      </c>
    </row>
    <row r="3684" spans="1:8" x14ac:dyDescent="0.25">
      <c r="A3684" s="1" t="str">
        <f>"11359"</f>
        <v>11359</v>
      </c>
      <c r="B3684" s="1" t="str">
        <f>"35614"</f>
        <v>35614</v>
      </c>
      <c r="C3684" s="1" t="str">
        <f>"BAYSIDE"</f>
        <v>BAYSIDE</v>
      </c>
      <c r="D3684" s="1" t="str">
        <f>"NY"</f>
        <v>NY</v>
      </c>
      <c r="E3684" s="2">
        <v>0</v>
      </c>
      <c r="F3684" s="2">
        <v>1</v>
      </c>
      <c r="G3684" s="2">
        <v>1</v>
      </c>
      <c r="H3684" s="2">
        <v>1</v>
      </c>
    </row>
    <row r="3685" spans="1:8" x14ac:dyDescent="0.25">
      <c r="A3685" s="1" t="str">
        <f>"94140"</f>
        <v>94140</v>
      </c>
      <c r="B3685" s="1" t="str">
        <f>"41884"</f>
        <v>41884</v>
      </c>
      <c r="C3685" s="1" t="str">
        <f>"SAN FRANCISCO"</f>
        <v>SAN FRANCISCO</v>
      </c>
      <c r="D3685" s="1" t="str">
        <f>"CA"</f>
        <v>CA</v>
      </c>
      <c r="E3685" s="2">
        <v>1</v>
      </c>
      <c r="F3685" s="2">
        <v>1</v>
      </c>
      <c r="G3685" s="2">
        <v>1</v>
      </c>
      <c r="H3685" s="2">
        <v>1</v>
      </c>
    </row>
    <row r="3686" spans="1:8" x14ac:dyDescent="0.25">
      <c r="A3686" s="1" t="str">
        <f>"18957"</f>
        <v>18957</v>
      </c>
      <c r="B3686" s="1" t="str">
        <f>"33874"</f>
        <v>33874</v>
      </c>
      <c r="C3686" s="1" t="str">
        <f>"SALFORD"</f>
        <v>SALFORD</v>
      </c>
      <c r="D3686" s="1" t="str">
        <f>"PA"</f>
        <v>PA</v>
      </c>
      <c r="E3686" s="2">
        <v>1</v>
      </c>
      <c r="F3686" s="2">
        <v>0</v>
      </c>
      <c r="G3686" s="2">
        <v>1</v>
      </c>
      <c r="H3686" s="2">
        <v>1</v>
      </c>
    </row>
    <row r="3687" spans="1:8" x14ac:dyDescent="0.25">
      <c r="A3687" s="1" t="str">
        <f>"20062"</f>
        <v>20062</v>
      </c>
      <c r="B3687" s="1" t="str">
        <f>"47894"</f>
        <v>47894</v>
      </c>
      <c r="C3687" s="1" t="str">
        <f>"WASHINGTON"</f>
        <v>WASHINGTON</v>
      </c>
      <c r="D3687" s="1" t="str">
        <f>"DC"</f>
        <v>DC</v>
      </c>
      <c r="E3687" s="2">
        <v>0</v>
      </c>
      <c r="F3687" s="2">
        <v>1</v>
      </c>
      <c r="G3687" s="2">
        <v>0</v>
      </c>
      <c r="H3687" s="2">
        <v>1</v>
      </c>
    </row>
    <row r="3688" spans="1:8" x14ac:dyDescent="0.25">
      <c r="A3688" s="1" t="str">
        <f>"01812"</f>
        <v>01812</v>
      </c>
      <c r="B3688" s="1" t="str">
        <f>"15764"</f>
        <v>15764</v>
      </c>
      <c r="C3688" s="1" t="str">
        <f>"ANDOVER"</f>
        <v>ANDOVER</v>
      </c>
      <c r="D3688" s="1" t="str">
        <f>"MA"</f>
        <v>MA</v>
      </c>
      <c r="E3688" s="2">
        <v>0</v>
      </c>
      <c r="F3688" s="2">
        <v>1</v>
      </c>
      <c r="G3688" s="2">
        <v>0</v>
      </c>
      <c r="H3688" s="2">
        <v>1</v>
      </c>
    </row>
    <row r="3689" spans="1:8" x14ac:dyDescent="0.25">
      <c r="A3689" s="1" t="str">
        <f>"95035"</f>
        <v>95035</v>
      </c>
      <c r="B3689" s="1" t="str">
        <f>"36084"</f>
        <v>36084</v>
      </c>
      <c r="C3689" s="1" t="str">
        <f>"MILPITAS"</f>
        <v>MILPITAS</v>
      </c>
      <c r="D3689" s="1" t="str">
        <f>"CA"</f>
        <v>CA</v>
      </c>
      <c r="E3689" s="2">
        <v>1</v>
      </c>
      <c r="F3689" s="2">
        <v>1</v>
      </c>
      <c r="G3689" s="2">
        <v>0</v>
      </c>
      <c r="H3689" s="2">
        <v>1</v>
      </c>
    </row>
    <row r="3690" spans="1:8" x14ac:dyDescent="0.25">
      <c r="A3690" s="1" t="str">
        <f>"91121"</f>
        <v>91121</v>
      </c>
      <c r="B3690" s="1" t="str">
        <f>"31084"</f>
        <v>31084</v>
      </c>
      <c r="C3690" s="1" t="str">
        <f>"PASADENA"</f>
        <v>PASADENA</v>
      </c>
      <c r="D3690" s="1" t="str">
        <f>"CA"</f>
        <v>CA</v>
      </c>
      <c r="E3690" s="2">
        <v>0</v>
      </c>
      <c r="F3690" s="2">
        <v>1</v>
      </c>
      <c r="G3690" s="2">
        <v>0</v>
      </c>
      <c r="H3690" s="2">
        <v>1</v>
      </c>
    </row>
    <row r="3691" spans="1:8" x14ac:dyDescent="0.25">
      <c r="A3691" s="1" t="str">
        <f>"02366"</f>
        <v>02366</v>
      </c>
      <c r="B3691" s="1" t="str">
        <f>"14454"</f>
        <v>14454</v>
      </c>
      <c r="C3691" s="1" t="str">
        <f>"SOUTH CARVER"</f>
        <v>SOUTH CARVER</v>
      </c>
      <c r="D3691" s="1" t="str">
        <f>"MA"</f>
        <v>MA</v>
      </c>
      <c r="E3691" s="2">
        <v>0</v>
      </c>
      <c r="F3691" s="2">
        <v>0</v>
      </c>
      <c r="G3691" s="2">
        <v>1</v>
      </c>
      <c r="H3691" s="2">
        <v>1</v>
      </c>
    </row>
    <row r="3692" spans="1:8" x14ac:dyDescent="0.25">
      <c r="A3692" s="1" t="str">
        <f>"60668"</f>
        <v>60668</v>
      </c>
      <c r="B3692" s="1" t="str">
        <f>"16984"</f>
        <v>16984</v>
      </c>
      <c r="C3692" s="1" t="str">
        <f>"CHICAGO"</f>
        <v>CHICAGO</v>
      </c>
      <c r="D3692" s="1" t="str">
        <f>"IL"</f>
        <v>IL</v>
      </c>
      <c r="E3692" s="2">
        <v>0</v>
      </c>
      <c r="F3692" s="2">
        <v>1</v>
      </c>
      <c r="G3692" s="2">
        <v>0</v>
      </c>
      <c r="H3692" s="2">
        <v>1</v>
      </c>
    </row>
    <row r="3693" spans="1:8" x14ac:dyDescent="0.25">
      <c r="A3693" s="1" t="str">
        <f>"20799"</f>
        <v>20799</v>
      </c>
      <c r="B3693" s="1" t="str">
        <f>"47894"</f>
        <v>47894</v>
      </c>
      <c r="C3693" s="1" t="str">
        <f>"CAPITOL HEIGHTS"</f>
        <v>CAPITOL HEIGHTS</v>
      </c>
      <c r="D3693" s="1" t="str">
        <f>"MD"</f>
        <v>MD</v>
      </c>
      <c r="E3693" s="2">
        <v>0</v>
      </c>
      <c r="F3693" s="2">
        <v>0</v>
      </c>
      <c r="G3693" s="2">
        <v>1</v>
      </c>
      <c r="H3693" s="2">
        <v>1</v>
      </c>
    </row>
    <row r="3694" spans="1:8" x14ac:dyDescent="0.25">
      <c r="A3694" s="1" t="str">
        <f>"20055"</f>
        <v>20055</v>
      </c>
      <c r="B3694" s="1" t="str">
        <f>"47894"</f>
        <v>47894</v>
      </c>
      <c r="C3694" s="1" t="str">
        <f>"WASHINGTON"</f>
        <v>WASHINGTON</v>
      </c>
      <c r="D3694" s="1" t="str">
        <f>"DC"</f>
        <v>DC</v>
      </c>
      <c r="E3694" s="2">
        <v>0</v>
      </c>
      <c r="F3694" s="2">
        <v>1</v>
      </c>
      <c r="G3694" s="2">
        <v>0</v>
      </c>
      <c r="H3694" s="2">
        <v>1</v>
      </c>
    </row>
    <row r="3695" spans="1:8" x14ac:dyDescent="0.25">
      <c r="A3695" s="1" t="str">
        <f>"01866"</f>
        <v>01866</v>
      </c>
      <c r="B3695" s="1" t="str">
        <f>"15764"</f>
        <v>15764</v>
      </c>
      <c r="C3695" s="1" t="str">
        <f>"PINEHURST"</f>
        <v>PINEHURST</v>
      </c>
      <c r="D3695" s="1" t="str">
        <f>"MA"</f>
        <v>MA</v>
      </c>
      <c r="E3695" s="2">
        <v>0</v>
      </c>
      <c r="F3695" s="2">
        <v>0</v>
      </c>
      <c r="G3695" s="2">
        <v>1</v>
      </c>
      <c r="H3695" s="2">
        <v>1</v>
      </c>
    </row>
    <row r="3696" spans="1:8" x14ac:dyDescent="0.25">
      <c r="A3696" s="1" t="str">
        <f>"98110"</f>
        <v>98110</v>
      </c>
      <c r="B3696" s="1" t="str">
        <f>"42644"</f>
        <v>42644</v>
      </c>
      <c r="C3696" s="1" t="str">
        <f>"BAINBRIDGE ISLAND"</f>
        <v>BAINBRIDGE ISLAND</v>
      </c>
      <c r="D3696" s="1" t="str">
        <f>"WA"</f>
        <v>WA</v>
      </c>
      <c r="E3696" s="2">
        <v>0</v>
      </c>
      <c r="F3696" s="2">
        <v>0</v>
      </c>
      <c r="G3696" s="2">
        <v>1</v>
      </c>
      <c r="H3696" s="2">
        <v>1</v>
      </c>
    </row>
    <row r="3697" spans="1:8" x14ac:dyDescent="0.25">
      <c r="A3697" s="1" t="str">
        <f>"01742"</f>
        <v>01742</v>
      </c>
      <c r="B3697" s="1" t="str">
        <f>"15764"</f>
        <v>15764</v>
      </c>
      <c r="C3697" s="1" t="str">
        <f>"CONCORD"</f>
        <v>CONCORD</v>
      </c>
      <c r="D3697" s="1" t="str">
        <f t="shared" ref="D3697:D3706" si="274">"MA"</f>
        <v>MA</v>
      </c>
      <c r="E3697" s="2">
        <v>1</v>
      </c>
      <c r="F3697" s="2">
        <v>1</v>
      </c>
      <c r="G3697" s="2">
        <v>1</v>
      </c>
      <c r="H3697" s="2">
        <v>1</v>
      </c>
    </row>
    <row r="3698" spans="1:8" x14ac:dyDescent="0.25">
      <c r="A3698" s="1" t="str">
        <f>"01778"</f>
        <v>01778</v>
      </c>
      <c r="B3698" s="1" t="str">
        <f>"15764"</f>
        <v>15764</v>
      </c>
      <c r="C3698" s="1" t="str">
        <f>"WAYLAND"</f>
        <v>WAYLAND</v>
      </c>
      <c r="D3698" s="1" t="str">
        <f t="shared" si="274"/>
        <v>MA</v>
      </c>
      <c r="E3698" s="2">
        <v>1</v>
      </c>
      <c r="F3698" s="2">
        <v>1</v>
      </c>
      <c r="G3698" s="2">
        <v>1</v>
      </c>
      <c r="H3698" s="2">
        <v>1</v>
      </c>
    </row>
    <row r="3699" spans="1:8" x14ac:dyDescent="0.25">
      <c r="A3699" s="1" t="str">
        <f>"01887"</f>
        <v>01887</v>
      </c>
      <c r="B3699" s="1" t="str">
        <f>"15764"</f>
        <v>15764</v>
      </c>
      <c r="C3699" s="1" t="str">
        <f>"WILMINGTON"</f>
        <v>WILMINGTON</v>
      </c>
      <c r="D3699" s="1" t="str">
        <f t="shared" si="274"/>
        <v>MA</v>
      </c>
      <c r="E3699" s="2">
        <v>1</v>
      </c>
      <c r="F3699" s="2">
        <v>1</v>
      </c>
      <c r="G3699" s="2">
        <v>1</v>
      </c>
      <c r="H3699" s="2">
        <v>1</v>
      </c>
    </row>
    <row r="3700" spans="1:8" x14ac:dyDescent="0.25">
      <c r="A3700" s="1" t="str">
        <f>"01915"</f>
        <v>01915</v>
      </c>
      <c r="B3700" s="1" t="str">
        <f>"15764"</f>
        <v>15764</v>
      </c>
      <c r="C3700" s="1" t="str">
        <f>"BEVERLY"</f>
        <v>BEVERLY</v>
      </c>
      <c r="D3700" s="1" t="str">
        <f t="shared" si="274"/>
        <v>MA</v>
      </c>
      <c r="E3700" s="2">
        <v>1</v>
      </c>
      <c r="F3700" s="2">
        <v>1</v>
      </c>
      <c r="G3700" s="2">
        <v>1</v>
      </c>
      <c r="H3700" s="2">
        <v>1</v>
      </c>
    </row>
    <row r="3701" spans="1:8" x14ac:dyDescent="0.25">
      <c r="A3701" s="1" t="str">
        <f>"01949"</f>
        <v>01949</v>
      </c>
      <c r="B3701" s="1" t="str">
        <f>"15764"</f>
        <v>15764</v>
      </c>
      <c r="C3701" s="1" t="str">
        <f>"MIDDLETON"</f>
        <v>MIDDLETON</v>
      </c>
      <c r="D3701" s="1" t="str">
        <f t="shared" si="274"/>
        <v>MA</v>
      </c>
      <c r="E3701" s="2">
        <v>1</v>
      </c>
      <c r="F3701" s="2">
        <v>1</v>
      </c>
      <c r="G3701" s="2">
        <v>1</v>
      </c>
      <c r="H3701" s="2">
        <v>1</v>
      </c>
    </row>
    <row r="3702" spans="1:8" x14ac:dyDescent="0.25">
      <c r="A3702" s="1" t="str">
        <f>"02052"</f>
        <v>02052</v>
      </c>
      <c r="B3702" s="1" t="str">
        <f>"14454"</f>
        <v>14454</v>
      </c>
      <c r="C3702" s="1" t="str">
        <f>"MEDFIELD"</f>
        <v>MEDFIELD</v>
      </c>
      <c r="D3702" s="1" t="str">
        <f t="shared" si="274"/>
        <v>MA</v>
      </c>
      <c r="E3702" s="2">
        <v>1</v>
      </c>
      <c r="F3702" s="2">
        <v>1</v>
      </c>
      <c r="G3702" s="2">
        <v>1</v>
      </c>
      <c r="H3702" s="2">
        <v>1</v>
      </c>
    </row>
    <row r="3703" spans="1:8" x14ac:dyDescent="0.25">
      <c r="A3703" s="1" t="str">
        <f>"02061"</f>
        <v>02061</v>
      </c>
      <c r="B3703" s="1" t="str">
        <f>"14454"</f>
        <v>14454</v>
      </c>
      <c r="C3703" s="1" t="str">
        <f>"NORWELL"</f>
        <v>NORWELL</v>
      </c>
      <c r="D3703" s="1" t="str">
        <f t="shared" si="274"/>
        <v>MA</v>
      </c>
      <c r="E3703" s="2">
        <v>1</v>
      </c>
      <c r="F3703" s="2">
        <v>1</v>
      </c>
      <c r="G3703" s="2">
        <v>1</v>
      </c>
      <c r="H3703" s="2">
        <v>1</v>
      </c>
    </row>
    <row r="3704" spans="1:8" x14ac:dyDescent="0.25">
      <c r="A3704" s="1" t="str">
        <f>"02117"</f>
        <v>02117</v>
      </c>
      <c r="B3704" s="1" t="str">
        <f>"14454"</f>
        <v>14454</v>
      </c>
      <c r="C3704" s="1" t="str">
        <f>"BOSTON"</f>
        <v>BOSTON</v>
      </c>
      <c r="D3704" s="1" t="str">
        <f t="shared" si="274"/>
        <v>MA</v>
      </c>
      <c r="E3704" s="2">
        <v>1</v>
      </c>
      <c r="F3704" s="2">
        <v>1</v>
      </c>
      <c r="G3704" s="2">
        <v>1</v>
      </c>
      <c r="H3704" s="2">
        <v>1</v>
      </c>
    </row>
    <row r="3705" spans="1:8" x14ac:dyDescent="0.25">
      <c r="A3705" s="1" t="str">
        <f>"02184"</f>
        <v>02184</v>
      </c>
      <c r="B3705" s="1" t="str">
        <f>"14454"</f>
        <v>14454</v>
      </c>
      <c r="C3705" s="1" t="str">
        <f>"BRAINTREE"</f>
        <v>BRAINTREE</v>
      </c>
      <c r="D3705" s="1" t="str">
        <f t="shared" si="274"/>
        <v>MA</v>
      </c>
      <c r="E3705" s="2">
        <v>1</v>
      </c>
      <c r="F3705" s="2">
        <v>1</v>
      </c>
      <c r="G3705" s="2">
        <v>1</v>
      </c>
      <c r="H3705" s="2">
        <v>1</v>
      </c>
    </row>
    <row r="3706" spans="1:8" x14ac:dyDescent="0.25">
      <c r="A3706" s="1" t="str">
        <f>"02738"</f>
        <v>02738</v>
      </c>
      <c r="B3706" s="1" t="str">
        <f>"14454"</f>
        <v>14454</v>
      </c>
      <c r="C3706" s="1" t="str">
        <f>"MARION"</f>
        <v>MARION</v>
      </c>
      <c r="D3706" s="1" t="str">
        <f t="shared" si="274"/>
        <v>MA</v>
      </c>
      <c r="E3706" s="2">
        <v>1</v>
      </c>
      <c r="F3706" s="2">
        <v>1</v>
      </c>
      <c r="G3706" s="2">
        <v>1</v>
      </c>
      <c r="H3706" s="2">
        <v>1</v>
      </c>
    </row>
    <row r="3707" spans="1:8" x14ac:dyDescent="0.25">
      <c r="A3707" s="1" t="str">
        <f>"07457"</f>
        <v>07457</v>
      </c>
      <c r="B3707" s="1" t="str">
        <f>"35084"</f>
        <v>35084</v>
      </c>
      <c r="C3707" s="1" t="str">
        <f>"RIVERDALE"</f>
        <v>RIVERDALE</v>
      </c>
      <c r="D3707" s="1" t="str">
        <f t="shared" ref="D3707:D3721" si="275">"NJ"</f>
        <v>NJ</v>
      </c>
      <c r="E3707" s="2">
        <v>1</v>
      </c>
      <c r="F3707" s="2">
        <v>1</v>
      </c>
      <c r="G3707" s="2">
        <v>1</v>
      </c>
      <c r="H3707" s="2">
        <v>1</v>
      </c>
    </row>
    <row r="3708" spans="1:8" x14ac:dyDescent="0.25">
      <c r="A3708" s="1" t="str">
        <f>"07423"</f>
        <v>07423</v>
      </c>
      <c r="B3708" s="1" t="str">
        <f>"35614"</f>
        <v>35614</v>
      </c>
      <c r="C3708" s="1" t="str">
        <f>"HO HO KUS"</f>
        <v>HO HO KUS</v>
      </c>
      <c r="D3708" s="1" t="str">
        <f t="shared" si="275"/>
        <v>NJ</v>
      </c>
      <c r="E3708" s="2">
        <v>1</v>
      </c>
      <c r="F3708" s="2">
        <v>1</v>
      </c>
      <c r="G3708" s="2">
        <v>1</v>
      </c>
      <c r="H3708" s="2">
        <v>1</v>
      </c>
    </row>
    <row r="3709" spans="1:8" x14ac:dyDescent="0.25">
      <c r="A3709" s="1" t="str">
        <f>"07670"</f>
        <v>07670</v>
      </c>
      <c r="B3709" s="1" t="str">
        <f>"35614"</f>
        <v>35614</v>
      </c>
      <c r="C3709" s="1" t="str">
        <f>"TENAFLY"</f>
        <v>TENAFLY</v>
      </c>
      <c r="D3709" s="1" t="str">
        <f t="shared" si="275"/>
        <v>NJ</v>
      </c>
      <c r="E3709" s="2">
        <v>1</v>
      </c>
      <c r="F3709" s="2">
        <v>1</v>
      </c>
      <c r="G3709" s="2">
        <v>1</v>
      </c>
      <c r="H3709" s="2">
        <v>1</v>
      </c>
    </row>
    <row r="3710" spans="1:8" x14ac:dyDescent="0.25">
      <c r="A3710" s="1" t="str">
        <f>"07720"</f>
        <v>07720</v>
      </c>
      <c r="B3710" s="1" t="str">
        <f>"35154"</f>
        <v>35154</v>
      </c>
      <c r="C3710" s="1" t="str">
        <f>"BRADLEY BEACH"</f>
        <v>BRADLEY BEACH</v>
      </c>
      <c r="D3710" s="1" t="str">
        <f t="shared" si="275"/>
        <v>NJ</v>
      </c>
      <c r="E3710" s="2">
        <v>1</v>
      </c>
      <c r="F3710" s="2">
        <v>1</v>
      </c>
      <c r="G3710" s="2">
        <v>1</v>
      </c>
      <c r="H3710" s="2">
        <v>1</v>
      </c>
    </row>
    <row r="3711" spans="1:8" x14ac:dyDescent="0.25">
      <c r="A3711" s="1" t="str">
        <f>"07848"</f>
        <v>07848</v>
      </c>
      <c r="B3711" s="1" t="str">
        <f>"35084"</f>
        <v>35084</v>
      </c>
      <c r="C3711" s="1" t="str">
        <f>"LAFAYETTE"</f>
        <v>LAFAYETTE</v>
      </c>
      <c r="D3711" s="1" t="str">
        <f t="shared" si="275"/>
        <v>NJ</v>
      </c>
      <c r="E3711" s="2">
        <v>1</v>
      </c>
      <c r="F3711" s="2">
        <v>1</v>
      </c>
      <c r="G3711" s="2">
        <v>1</v>
      </c>
      <c r="H3711" s="2">
        <v>1</v>
      </c>
    </row>
    <row r="3712" spans="1:8" x14ac:dyDescent="0.25">
      <c r="A3712" s="1" t="str">
        <f>"07821"</f>
        <v>07821</v>
      </c>
      <c r="B3712" s="1" t="str">
        <f>"35084"</f>
        <v>35084</v>
      </c>
      <c r="C3712" s="1" t="str">
        <f>"ANDOVER"</f>
        <v>ANDOVER</v>
      </c>
      <c r="D3712" s="1" t="str">
        <f t="shared" si="275"/>
        <v>NJ</v>
      </c>
      <c r="E3712" s="2">
        <v>1</v>
      </c>
      <c r="F3712" s="2">
        <v>1</v>
      </c>
      <c r="G3712" s="2">
        <v>1</v>
      </c>
      <c r="H3712" s="2">
        <v>1</v>
      </c>
    </row>
    <row r="3713" spans="1:8" x14ac:dyDescent="0.25">
      <c r="A3713" s="1" t="str">
        <f>"07827"</f>
        <v>07827</v>
      </c>
      <c r="B3713" s="1" t="str">
        <f>"35084"</f>
        <v>35084</v>
      </c>
      <c r="C3713" s="1" t="str">
        <f>"MONTAGUE"</f>
        <v>MONTAGUE</v>
      </c>
      <c r="D3713" s="1" t="str">
        <f t="shared" si="275"/>
        <v>NJ</v>
      </c>
      <c r="E3713" s="2">
        <v>1</v>
      </c>
      <c r="F3713" s="2">
        <v>1</v>
      </c>
      <c r="G3713" s="2">
        <v>1</v>
      </c>
      <c r="H3713" s="2">
        <v>1</v>
      </c>
    </row>
    <row r="3714" spans="1:8" x14ac:dyDescent="0.25">
      <c r="A3714" s="1" t="str">
        <f>"08003"</f>
        <v>08003</v>
      </c>
      <c r="B3714" s="1" t="str">
        <f>"15804"</f>
        <v>15804</v>
      </c>
      <c r="C3714" s="1" t="str">
        <f>"CHERRY HILL"</f>
        <v>CHERRY HILL</v>
      </c>
      <c r="D3714" s="1" t="str">
        <f t="shared" si="275"/>
        <v>NJ</v>
      </c>
      <c r="E3714" s="2">
        <v>1</v>
      </c>
      <c r="F3714" s="2">
        <v>1</v>
      </c>
      <c r="G3714" s="2">
        <v>1</v>
      </c>
      <c r="H3714" s="2">
        <v>1</v>
      </c>
    </row>
    <row r="3715" spans="1:8" x14ac:dyDescent="0.25">
      <c r="A3715" s="1" t="str">
        <f>"07950"</f>
        <v>07950</v>
      </c>
      <c r="B3715" s="1" t="str">
        <f>"35084"</f>
        <v>35084</v>
      </c>
      <c r="C3715" s="1" t="str">
        <f>"MORRIS PLAINS"</f>
        <v>MORRIS PLAINS</v>
      </c>
      <c r="D3715" s="1" t="str">
        <f t="shared" si="275"/>
        <v>NJ</v>
      </c>
      <c r="E3715" s="2">
        <v>1</v>
      </c>
      <c r="F3715" s="2">
        <v>1</v>
      </c>
      <c r="G3715" s="2">
        <v>1</v>
      </c>
      <c r="H3715" s="2">
        <v>1</v>
      </c>
    </row>
    <row r="3716" spans="1:8" x14ac:dyDescent="0.25">
      <c r="A3716" s="1" t="str">
        <f>"07945"</f>
        <v>07945</v>
      </c>
      <c r="B3716" s="1" t="str">
        <f>"35084"</f>
        <v>35084</v>
      </c>
      <c r="C3716" s="1" t="str">
        <f>"MENDHAM"</f>
        <v>MENDHAM</v>
      </c>
      <c r="D3716" s="1" t="str">
        <f t="shared" si="275"/>
        <v>NJ</v>
      </c>
      <c r="E3716" s="2">
        <v>1</v>
      </c>
      <c r="F3716" s="2">
        <v>1</v>
      </c>
      <c r="G3716" s="2">
        <v>1</v>
      </c>
      <c r="H3716" s="2">
        <v>1</v>
      </c>
    </row>
    <row r="3717" spans="1:8" x14ac:dyDescent="0.25">
      <c r="A3717" s="1" t="str">
        <f>"08029"</f>
        <v>08029</v>
      </c>
      <c r="B3717" s="1" t="str">
        <f>"15804"</f>
        <v>15804</v>
      </c>
      <c r="C3717" s="1" t="str">
        <f>"GLENDORA"</f>
        <v>GLENDORA</v>
      </c>
      <c r="D3717" s="1" t="str">
        <f t="shared" si="275"/>
        <v>NJ</v>
      </c>
      <c r="E3717" s="2">
        <v>1</v>
      </c>
      <c r="F3717" s="2">
        <v>1</v>
      </c>
      <c r="G3717" s="2">
        <v>1</v>
      </c>
      <c r="H3717" s="2">
        <v>1</v>
      </c>
    </row>
    <row r="3718" spans="1:8" x14ac:dyDescent="0.25">
      <c r="A3718" s="1" t="str">
        <f>"08084"</f>
        <v>08084</v>
      </c>
      <c r="B3718" s="1" t="str">
        <f>"15804"</f>
        <v>15804</v>
      </c>
      <c r="C3718" s="1" t="str">
        <f>"STRATFORD"</f>
        <v>STRATFORD</v>
      </c>
      <c r="D3718" s="1" t="str">
        <f t="shared" si="275"/>
        <v>NJ</v>
      </c>
      <c r="E3718" s="2">
        <v>1</v>
      </c>
      <c r="F3718" s="2">
        <v>1</v>
      </c>
      <c r="G3718" s="2">
        <v>1</v>
      </c>
      <c r="H3718" s="2">
        <v>1</v>
      </c>
    </row>
    <row r="3719" spans="1:8" x14ac:dyDescent="0.25">
      <c r="A3719" s="1" t="str">
        <f>"08312"</f>
        <v>08312</v>
      </c>
      <c r="B3719" s="1" t="str">
        <f>"15804"</f>
        <v>15804</v>
      </c>
      <c r="C3719" s="1" t="str">
        <f>"CLAYTON"</f>
        <v>CLAYTON</v>
      </c>
      <c r="D3719" s="1" t="str">
        <f t="shared" si="275"/>
        <v>NJ</v>
      </c>
      <c r="E3719" s="2">
        <v>1</v>
      </c>
      <c r="F3719" s="2">
        <v>1</v>
      </c>
      <c r="G3719" s="2">
        <v>1</v>
      </c>
      <c r="H3719" s="2">
        <v>1</v>
      </c>
    </row>
    <row r="3720" spans="1:8" x14ac:dyDescent="0.25">
      <c r="A3720" s="1" t="str">
        <f>"08740"</f>
        <v>08740</v>
      </c>
      <c r="B3720" s="1" t="str">
        <f>"35154"</f>
        <v>35154</v>
      </c>
      <c r="C3720" s="1" t="str">
        <f>"OCEAN GATE"</f>
        <v>OCEAN GATE</v>
      </c>
      <c r="D3720" s="1" t="str">
        <f t="shared" si="275"/>
        <v>NJ</v>
      </c>
      <c r="E3720" s="2">
        <v>1</v>
      </c>
      <c r="F3720" s="2">
        <v>0</v>
      </c>
      <c r="G3720" s="2">
        <v>1</v>
      </c>
      <c r="H3720" s="2">
        <v>1</v>
      </c>
    </row>
    <row r="3721" spans="1:8" x14ac:dyDescent="0.25">
      <c r="A3721" s="1" t="str">
        <f>"08837"</f>
        <v>08837</v>
      </c>
      <c r="B3721" s="1" t="str">
        <f>"35154"</f>
        <v>35154</v>
      </c>
      <c r="C3721" s="1" t="str">
        <f>"EDISON"</f>
        <v>EDISON</v>
      </c>
      <c r="D3721" s="1" t="str">
        <f t="shared" si="275"/>
        <v>NJ</v>
      </c>
      <c r="E3721" s="2">
        <v>1</v>
      </c>
      <c r="F3721" s="2">
        <v>1</v>
      </c>
      <c r="G3721" s="2">
        <v>1</v>
      </c>
      <c r="H3721" s="2">
        <v>1</v>
      </c>
    </row>
    <row r="3722" spans="1:8" x14ac:dyDescent="0.25">
      <c r="A3722" s="1" t="str">
        <f>"10065"</f>
        <v>10065</v>
      </c>
      <c r="B3722" s="1" t="str">
        <f>"35614"</f>
        <v>35614</v>
      </c>
      <c r="C3722" s="1" t="str">
        <f>"NEW YORK"</f>
        <v>NEW YORK</v>
      </c>
      <c r="D3722" s="1" t="str">
        <f t="shared" ref="D3722:D3733" si="276">"NY"</f>
        <v>NY</v>
      </c>
      <c r="E3722" s="2">
        <v>1</v>
      </c>
      <c r="F3722" s="2">
        <v>1</v>
      </c>
      <c r="G3722" s="2">
        <v>1</v>
      </c>
      <c r="H3722" s="2">
        <v>1</v>
      </c>
    </row>
    <row r="3723" spans="1:8" x14ac:dyDescent="0.25">
      <c r="A3723" s="1" t="str">
        <f>"10452"</f>
        <v>10452</v>
      </c>
      <c r="B3723" s="1" t="str">
        <f>"35614"</f>
        <v>35614</v>
      </c>
      <c r="C3723" s="1" t="str">
        <f>"BRONX"</f>
        <v>BRONX</v>
      </c>
      <c r="D3723" s="1" t="str">
        <f t="shared" si="276"/>
        <v>NY</v>
      </c>
      <c r="E3723" s="2">
        <v>1</v>
      </c>
      <c r="F3723" s="2">
        <v>1</v>
      </c>
      <c r="G3723" s="2">
        <v>1</v>
      </c>
      <c r="H3723" s="2">
        <v>1</v>
      </c>
    </row>
    <row r="3724" spans="1:8" x14ac:dyDescent="0.25">
      <c r="A3724" s="1" t="str">
        <f>"11001"</f>
        <v>11001</v>
      </c>
      <c r="B3724" s="1" t="str">
        <f>"35614"</f>
        <v>35614</v>
      </c>
      <c r="C3724" s="1" t="str">
        <f>"FLORAL PARK"</f>
        <v>FLORAL PARK</v>
      </c>
      <c r="D3724" s="1" t="str">
        <f t="shared" si="276"/>
        <v>NY</v>
      </c>
      <c r="E3724" s="2">
        <v>0.160319270239452</v>
      </c>
      <c r="F3724" s="2">
        <v>3.5667107001321002E-2</v>
      </c>
      <c r="G3724" s="2">
        <v>0.112781954887218</v>
      </c>
      <c r="H3724" s="2">
        <v>0.14939242315939899</v>
      </c>
    </row>
    <row r="3725" spans="1:8" x14ac:dyDescent="0.25">
      <c r="A3725" s="1" t="str">
        <f>"11001"</f>
        <v>11001</v>
      </c>
      <c r="B3725" s="1" t="str">
        <f t="shared" ref="B3725:B3732" si="277">"35004"</f>
        <v>35004</v>
      </c>
      <c r="C3725" s="1" t="str">
        <f>"FLORAL PARK"</f>
        <v>FLORAL PARK</v>
      </c>
      <c r="D3725" s="1" t="str">
        <f t="shared" si="276"/>
        <v>NY</v>
      </c>
      <c r="E3725" s="2">
        <v>0.83968072976054697</v>
      </c>
      <c r="F3725" s="2">
        <v>0.96433289299867797</v>
      </c>
      <c r="G3725" s="2">
        <v>0.88721804511278102</v>
      </c>
      <c r="H3725" s="2">
        <v>0.85060757684059995</v>
      </c>
    </row>
    <row r="3726" spans="1:8" x14ac:dyDescent="0.25">
      <c r="A3726" s="1" t="str">
        <f>"11560"</f>
        <v>11560</v>
      </c>
      <c r="B3726" s="1" t="str">
        <f t="shared" si="277"/>
        <v>35004</v>
      </c>
      <c r="C3726" s="1" t="str">
        <f>"LOCUST VALLEY"</f>
        <v>LOCUST VALLEY</v>
      </c>
      <c r="D3726" s="1" t="str">
        <f t="shared" si="276"/>
        <v>NY</v>
      </c>
      <c r="E3726" s="2">
        <v>1</v>
      </c>
      <c r="F3726" s="2">
        <v>1</v>
      </c>
      <c r="G3726" s="2">
        <v>1</v>
      </c>
      <c r="H3726" s="2">
        <v>1</v>
      </c>
    </row>
    <row r="3727" spans="1:8" x14ac:dyDescent="0.25">
      <c r="A3727" s="1" t="str">
        <f>"11565"</f>
        <v>11565</v>
      </c>
      <c r="B3727" s="1" t="str">
        <f t="shared" si="277"/>
        <v>35004</v>
      </c>
      <c r="C3727" s="1" t="str">
        <f>"MALVERNE"</f>
        <v>MALVERNE</v>
      </c>
      <c r="D3727" s="1" t="str">
        <f t="shared" si="276"/>
        <v>NY</v>
      </c>
      <c r="E3727" s="2">
        <v>1</v>
      </c>
      <c r="F3727" s="2">
        <v>1</v>
      </c>
      <c r="G3727" s="2">
        <v>1</v>
      </c>
      <c r="H3727" s="2">
        <v>1</v>
      </c>
    </row>
    <row r="3728" spans="1:8" x14ac:dyDescent="0.25">
      <c r="A3728" s="1" t="str">
        <f>"11720"</f>
        <v>11720</v>
      </c>
      <c r="B3728" s="1" t="str">
        <f t="shared" si="277"/>
        <v>35004</v>
      </c>
      <c r="C3728" s="1" t="str">
        <f>"CENTEREACH"</f>
        <v>CENTEREACH</v>
      </c>
      <c r="D3728" s="1" t="str">
        <f t="shared" si="276"/>
        <v>NY</v>
      </c>
      <c r="E3728" s="2">
        <v>1</v>
      </c>
      <c r="F3728" s="2">
        <v>1</v>
      </c>
      <c r="G3728" s="2">
        <v>1</v>
      </c>
      <c r="H3728" s="2">
        <v>1</v>
      </c>
    </row>
    <row r="3729" spans="1:8" x14ac:dyDescent="0.25">
      <c r="A3729" s="1" t="str">
        <f>"11725"</f>
        <v>11725</v>
      </c>
      <c r="B3729" s="1" t="str">
        <f t="shared" si="277"/>
        <v>35004</v>
      </c>
      <c r="C3729" s="1" t="str">
        <f>"COMMACK"</f>
        <v>COMMACK</v>
      </c>
      <c r="D3729" s="1" t="str">
        <f t="shared" si="276"/>
        <v>NY</v>
      </c>
      <c r="E3729" s="2">
        <v>1</v>
      </c>
      <c r="F3729" s="2">
        <v>1</v>
      </c>
      <c r="G3729" s="2">
        <v>1</v>
      </c>
      <c r="H3729" s="2">
        <v>1</v>
      </c>
    </row>
    <row r="3730" spans="1:8" x14ac:dyDescent="0.25">
      <c r="A3730" s="1" t="str">
        <f>"11726"</f>
        <v>11726</v>
      </c>
      <c r="B3730" s="1" t="str">
        <f t="shared" si="277"/>
        <v>35004</v>
      </c>
      <c r="C3730" s="1" t="str">
        <f>"COPIAGUE"</f>
        <v>COPIAGUE</v>
      </c>
      <c r="D3730" s="1" t="str">
        <f t="shared" si="276"/>
        <v>NY</v>
      </c>
      <c r="E3730" s="2">
        <v>1</v>
      </c>
      <c r="F3730" s="2">
        <v>1</v>
      </c>
      <c r="G3730" s="2">
        <v>1</v>
      </c>
      <c r="H3730" s="2">
        <v>1</v>
      </c>
    </row>
    <row r="3731" spans="1:8" x14ac:dyDescent="0.25">
      <c r="A3731" s="1" t="str">
        <f>"11747"</f>
        <v>11747</v>
      </c>
      <c r="B3731" s="1" t="str">
        <f t="shared" si="277"/>
        <v>35004</v>
      </c>
      <c r="C3731" s="1" t="str">
        <f>"MELVILLE"</f>
        <v>MELVILLE</v>
      </c>
      <c r="D3731" s="1" t="str">
        <f t="shared" si="276"/>
        <v>NY</v>
      </c>
      <c r="E3731" s="2">
        <v>1</v>
      </c>
      <c r="F3731" s="2">
        <v>1</v>
      </c>
      <c r="G3731" s="2">
        <v>1</v>
      </c>
      <c r="H3731" s="2">
        <v>1</v>
      </c>
    </row>
    <row r="3732" spans="1:8" x14ac:dyDescent="0.25">
      <c r="A3732" s="1" t="str">
        <f>"11757"</f>
        <v>11757</v>
      </c>
      <c r="B3732" s="1" t="str">
        <f t="shared" si="277"/>
        <v>35004</v>
      </c>
      <c r="C3732" s="1" t="str">
        <f>"LINDENHURST"</f>
        <v>LINDENHURST</v>
      </c>
      <c r="D3732" s="1" t="str">
        <f t="shared" si="276"/>
        <v>NY</v>
      </c>
      <c r="E3732" s="2">
        <v>1</v>
      </c>
      <c r="F3732" s="2">
        <v>1</v>
      </c>
      <c r="G3732" s="2">
        <v>1</v>
      </c>
      <c r="H3732" s="2">
        <v>1</v>
      </c>
    </row>
    <row r="3733" spans="1:8" x14ac:dyDescent="0.25">
      <c r="A3733" s="1" t="str">
        <f>"10980"</f>
        <v>10980</v>
      </c>
      <c r="B3733" s="1" t="str">
        <f>"35614"</f>
        <v>35614</v>
      </c>
      <c r="C3733" s="1" t="str">
        <f>"STONY POINT"</f>
        <v>STONY POINT</v>
      </c>
      <c r="D3733" s="1" t="str">
        <f t="shared" si="276"/>
        <v>NY</v>
      </c>
      <c r="E3733" s="2">
        <v>1</v>
      </c>
      <c r="F3733" s="2">
        <v>1</v>
      </c>
      <c r="G3733" s="2">
        <v>1</v>
      </c>
      <c r="H3733" s="2">
        <v>1</v>
      </c>
    </row>
    <row r="3734" spans="1:8" x14ac:dyDescent="0.25">
      <c r="A3734" s="1" t="str">
        <f>"19014"</f>
        <v>19014</v>
      </c>
      <c r="B3734" s="1" t="str">
        <f>"37964"</f>
        <v>37964</v>
      </c>
      <c r="C3734" s="1" t="str">
        <f>"ASTON"</f>
        <v>ASTON</v>
      </c>
      <c r="D3734" s="1" t="str">
        <f t="shared" ref="D3734:D3746" si="278">"PA"</f>
        <v>PA</v>
      </c>
      <c r="E3734" s="2">
        <v>1</v>
      </c>
      <c r="F3734" s="2">
        <v>1</v>
      </c>
      <c r="G3734" s="2">
        <v>1</v>
      </c>
      <c r="H3734" s="2">
        <v>1</v>
      </c>
    </row>
    <row r="3735" spans="1:8" x14ac:dyDescent="0.25">
      <c r="A3735" s="1" t="str">
        <f>"19044"</f>
        <v>19044</v>
      </c>
      <c r="B3735" s="1" t="str">
        <f>"33874"</f>
        <v>33874</v>
      </c>
      <c r="C3735" s="1" t="str">
        <f>"HORSHAM"</f>
        <v>HORSHAM</v>
      </c>
      <c r="D3735" s="1" t="str">
        <f t="shared" si="278"/>
        <v>PA</v>
      </c>
      <c r="E3735" s="2">
        <v>1</v>
      </c>
      <c r="F3735" s="2">
        <v>1</v>
      </c>
      <c r="G3735" s="2">
        <v>1</v>
      </c>
      <c r="H3735" s="2">
        <v>1</v>
      </c>
    </row>
    <row r="3736" spans="1:8" x14ac:dyDescent="0.25">
      <c r="A3736" s="1" t="str">
        <f>"19060"</f>
        <v>19060</v>
      </c>
      <c r="B3736" s="1" t="str">
        <f>"37964"</f>
        <v>37964</v>
      </c>
      <c r="C3736" s="1" t="str">
        <f>"GARNET VALLEY"</f>
        <v>GARNET VALLEY</v>
      </c>
      <c r="D3736" s="1" t="str">
        <f t="shared" si="278"/>
        <v>PA</v>
      </c>
      <c r="E3736" s="2">
        <v>1</v>
      </c>
      <c r="F3736" s="2">
        <v>1</v>
      </c>
      <c r="G3736" s="2">
        <v>1</v>
      </c>
      <c r="H3736" s="2">
        <v>1</v>
      </c>
    </row>
    <row r="3737" spans="1:8" x14ac:dyDescent="0.25">
      <c r="A3737" s="1" t="str">
        <f>"19081"</f>
        <v>19081</v>
      </c>
      <c r="B3737" s="1" t="str">
        <f>"37964"</f>
        <v>37964</v>
      </c>
      <c r="C3737" s="1" t="str">
        <f>"SWARTHMORE"</f>
        <v>SWARTHMORE</v>
      </c>
      <c r="D3737" s="1" t="str">
        <f t="shared" si="278"/>
        <v>PA</v>
      </c>
      <c r="E3737" s="2">
        <v>1</v>
      </c>
      <c r="F3737" s="2">
        <v>1</v>
      </c>
      <c r="G3737" s="2">
        <v>1</v>
      </c>
      <c r="H3737" s="2">
        <v>1</v>
      </c>
    </row>
    <row r="3738" spans="1:8" x14ac:dyDescent="0.25">
      <c r="A3738" s="1" t="str">
        <f>"19085"</f>
        <v>19085</v>
      </c>
      <c r="B3738" s="1" t="str">
        <f>"37964"</f>
        <v>37964</v>
      </c>
      <c r="C3738" s="1" t="str">
        <f>"VILLANOVA"</f>
        <v>VILLANOVA</v>
      </c>
      <c r="D3738" s="1" t="str">
        <f t="shared" si="278"/>
        <v>PA</v>
      </c>
      <c r="E3738" s="2">
        <v>0.47378277153558002</v>
      </c>
      <c r="F3738" s="2">
        <v>0.93258426966292096</v>
      </c>
      <c r="G3738" s="2">
        <v>0.87096774193548299</v>
      </c>
      <c r="H3738" s="2">
        <v>0.49734042553191399</v>
      </c>
    </row>
    <row r="3739" spans="1:8" x14ac:dyDescent="0.25">
      <c r="A3739" s="1" t="str">
        <f>"19085"</f>
        <v>19085</v>
      </c>
      <c r="B3739" s="1" t="str">
        <f>"33874"</f>
        <v>33874</v>
      </c>
      <c r="C3739" s="1" t="str">
        <f>"VILLANOVA"</f>
        <v>VILLANOVA</v>
      </c>
      <c r="D3739" s="1" t="str">
        <f t="shared" si="278"/>
        <v>PA</v>
      </c>
      <c r="E3739" s="2">
        <v>0.52621722846441898</v>
      </c>
      <c r="F3739" s="2">
        <v>6.7415730337078594E-2</v>
      </c>
      <c r="G3739" s="2">
        <v>0.12903225806451599</v>
      </c>
      <c r="H3739" s="2">
        <v>0.50265957446808496</v>
      </c>
    </row>
    <row r="3740" spans="1:8" x14ac:dyDescent="0.25">
      <c r="A3740" s="1" t="str">
        <f>"19114"</f>
        <v>19114</v>
      </c>
      <c r="B3740" s="1" t="str">
        <f>"37964"</f>
        <v>37964</v>
      </c>
      <c r="C3740" s="1" t="str">
        <f>"PHILADELPHIA"</f>
        <v>PHILADELPHIA</v>
      </c>
      <c r="D3740" s="1" t="str">
        <f t="shared" si="278"/>
        <v>PA</v>
      </c>
      <c r="E3740" s="2">
        <v>1</v>
      </c>
      <c r="F3740" s="2">
        <v>1</v>
      </c>
      <c r="G3740" s="2">
        <v>1</v>
      </c>
      <c r="H3740" s="2">
        <v>1</v>
      </c>
    </row>
    <row r="3741" spans="1:8" x14ac:dyDescent="0.25">
      <c r="A3741" s="1" t="str">
        <f>"19145"</f>
        <v>19145</v>
      </c>
      <c r="B3741" s="1" t="str">
        <f>"37964"</f>
        <v>37964</v>
      </c>
      <c r="C3741" s="1" t="str">
        <f>"PHILADELPHIA"</f>
        <v>PHILADELPHIA</v>
      </c>
      <c r="D3741" s="1" t="str">
        <f t="shared" si="278"/>
        <v>PA</v>
      </c>
      <c r="E3741" s="2">
        <v>1</v>
      </c>
      <c r="F3741" s="2">
        <v>1</v>
      </c>
      <c r="G3741" s="2">
        <v>1</v>
      </c>
      <c r="H3741" s="2">
        <v>1</v>
      </c>
    </row>
    <row r="3742" spans="1:8" x14ac:dyDescent="0.25">
      <c r="A3742" s="1" t="str">
        <f>"19136"</f>
        <v>19136</v>
      </c>
      <c r="B3742" s="1" t="str">
        <f>"37964"</f>
        <v>37964</v>
      </c>
      <c r="C3742" s="1" t="str">
        <f>"PHILADELPHIA"</f>
        <v>PHILADELPHIA</v>
      </c>
      <c r="D3742" s="1" t="str">
        <f t="shared" si="278"/>
        <v>PA</v>
      </c>
      <c r="E3742" s="2">
        <v>1</v>
      </c>
      <c r="F3742" s="2">
        <v>1</v>
      </c>
      <c r="G3742" s="2">
        <v>1</v>
      </c>
      <c r="H3742" s="2">
        <v>1</v>
      </c>
    </row>
    <row r="3743" spans="1:8" x14ac:dyDescent="0.25">
      <c r="A3743" s="1" t="str">
        <f>"19335"</f>
        <v>19335</v>
      </c>
      <c r="B3743" s="1" t="str">
        <f>"33874"</f>
        <v>33874</v>
      </c>
      <c r="C3743" s="1" t="str">
        <f>"DOWNINGTOWN"</f>
        <v>DOWNINGTOWN</v>
      </c>
      <c r="D3743" s="1" t="str">
        <f t="shared" si="278"/>
        <v>PA</v>
      </c>
      <c r="E3743" s="2">
        <v>1</v>
      </c>
      <c r="F3743" s="2">
        <v>1</v>
      </c>
      <c r="G3743" s="2">
        <v>1</v>
      </c>
      <c r="H3743" s="2">
        <v>1</v>
      </c>
    </row>
    <row r="3744" spans="1:8" x14ac:dyDescent="0.25">
      <c r="A3744" s="1" t="str">
        <f>"19438"</f>
        <v>19438</v>
      </c>
      <c r="B3744" s="1" t="str">
        <f>"33874"</f>
        <v>33874</v>
      </c>
      <c r="C3744" s="1" t="str">
        <f>"HARLEYSVILLE"</f>
        <v>HARLEYSVILLE</v>
      </c>
      <c r="D3744" s="1" t="str">
        <f t="shared" si="278"/>
        <v>PA</v>
      </c>
      <c r="E3744" s="2">
        <v>1</v>
      </c>
      <c r="F3744" s="2">
        <v>1</v>
      </c>
      <c r="G3744" s="2">
        <v>1</v>
      </c>
      <c r="H3744" s="2">
        <v>1</v>
      </c>
    </row>
    <row r="3745" spans="1:8" x14ac:dyDescent="0.25">
      <c r="A3745" s="1" t="str">
        <f>"19446"</f>
        <v>19446</v>
      </c>
      <c r="B3745" s="1" t="str">
        <f>"33874"</f>
        <v>33874</v>
      </c>
      <c r="C3745" s="1" t="str">
        <f>"LANSDALE"</f>
        <v>LANSDALE</v>
      </c>
      <c r="D3745" s="1" t="str">
        <f t="shared" si="278"/>
        <v>PA</v>
      </c>
      <c r="E3745" s="2">
        <v>1</v>
      </c>
      <c r="F3745" s="2">
        <v>1</v>
      </c>
      <c r="G3745" s="2">
        <v>1</v>
      </c>
      <c r="H3745" s="2">
        <v>1</v>
      </c>
    </row>
    <row r="3746" spans="1:8" x14ac:dyDescent="0.25">
      <c r="A3746" s="1" t="str">
        <f>"19464"</f>
        <v>19464</v>
      </c>
      <c r="B3746" s="1" t="str">
        <f>"33874"</f>
        <v>33874</v>
      </c>
      <c r="C3746" s="1" t="str">
        <f>"POTTSTOWN"</f>
        <v>POTTSTOWN</v>
      </c>
      <c r="D3746" s="1" t="str">
        <f t="shared" si="278"/>
        <v>PA</v>
      </c>
      <c r="E3746" s="2">
        <v>1</v>
      </c>
      <c r="F3746" s="2">
        <v>1</v>
      </c>
      <c r="G3746" s="2">
        <v>1</v>
      </c>
      <c r="H3746" s="2">
        <v>1</v>
      </c>
    </row>
    <row r="3747" spans="1:8" x14ac:dyDescent="0.25">
      <c r="A3747" s="1" t="str">
        <f>"20853"</f>
        <v>20853</v>
      </c>
      <c r="B3747" s="1" t="str">
        <f>"23224"</f>
        <v>23224</v>
      </c>
      <c r="C3747" s="1" t="str">
        <f>"ROCKVILLE"</f>
        <v>ROCKVILLE</v>
      </c>
      <c r="D3747" s="1" t="str">
        <f>"MD"</f>
        <v>MD</v>
      </c>
      <c r="E3747" s="2">
        <v>1</v>
      </c>
      <c r="F3747" s="2">
        <v>1</v>
      </c>
      <c r="G3747" s="2">
        <v>1</v>
      </c>
      <c r="H3747" s="2">
        <v>1</v>
      </c>
    </row>
    <row r="3748" spans="1:8" x14ac:dyDescent="0.25">
      <c r="A3748" s="1" t="str">
        <f>"20832"</f>
        <v>20832</v>
      </c>
      <c r="B3748" s="1" t="str">
        <f>"23224"</f>
        <v>23224</v>
      </c>
      <c r="C3748" s="1" t="str">
        <f>"OLNEY"</f>
        <v>OLNEY</v>
      </c>
      <c r="D3748" s="1" t="str">
        <f>"MD"</f>
        <v>MD</v>
      </c>
      <c r="E3748" s="2">
        <v>1</v>
      </c>
      <c r="F3748" s="2">
        <v>1</v>
      </c>
      <c r="G3748" s="2">
        <v>1</v>
      </c>
      <c r="H3748" s="2">
        <v>1</v>
      </c>
    </row>
    <row r="3749" spans="1:8" x14ac:dyDescent="0.25">
      <c r="A3749" s="1" t="str">
        <f>"21912"</f>
        <v>21912</v>
      </c>
      <c r="B3749" s="1" t="str">
        <f>"48864"</f>
        <v>48864</v>
      </c>
      <c r="C3749" s="1" t="str">
        <f>"WARWICK"</f>
        <v>WARWICK</v>
      </c>
      <c r="D3749" s="1" t="str">
        <f>"MD"</f>
        <v>MD</v>
      </c>
      <c r="E3749" s="2">
        <v>1</v>
      </c>
      <c r="F3749" s="2">
        <v>1</v>
      </c>
      <c r="G3749" s="2">
        <v>1</v>
      </c>
      <c r="H3749" s="2">
        <v>1</v>
      </c>
    </row>
    <row r="3750" spans="1:8" x14ac:dyDescent="0.25">
      <c r="A3750" s="1" t="str">
        <f>"21913"</f>
        <v>21913</v>
      </c>
      <c r="B3750" s="1" t="str">
        <f>"48864"</f>
        <v>48864</v>
      </c>
      <c r="C3750" s="1" t="str">
        <f>"CECILTON"</f>
        <v>CECILTON</v>
      </c>
      <c r="D3750" s="1" t="str">
        <f>"MD"</f>
        <v>MD</v>
      </c>
      <c r="E3750" s="2">
        <v>1</v>
      </c>
      <c r="F3750" s="2">
        <v>1</v>
      </c>
      <c r="G3750" s="2">
        <v>1</v>
      </c>
      <c r="H3750" s="2">
        <v>1</v>
      </c>
    </row>
    <row r="3751" spans="1:8" x14ac:dyDescent="0.25">
      <c r="A3751" s="1" t="str">
        <f>"20124"</f>
        <v>20124</v>
      </c>
      <c r="B3751" s="1" t="str">
        <f>"47894"</f>
        <v>47894</v>
      </c>
      <c r="C3751" s="1" t="str">
        <f>"CLIFTON"</f>
        <v>CLIFTON</v>
      </c>
      <c r="D3751" s="1" t="str">
        <f>"VA"</f>
        <v>VA</v>
      </c>
      <c r="E3751" s="2">
        <v>1</v>
      </c>
      <c r="F3751" s="2">
        <v>1</v>
      </c>
      <c r="G3751" s="2">
        <v>1</v>
      </c>
      <c r="H3751" s="2">
        <v>1</v>
      </c>
    </row>
    <row r="3752" spans="1:8" x14ac:dyDescent="0.25">
      <c r="A3752" s="1" t="str">
        <f>"20119"</f>
        <v>20119</v>
      </c>
      <c r="B3752" s="1" t="str">
        <f>"47894"</f>
        <v>47894</v>
      </c>
      <c r="C3752" s="1" t="str">
        <f>"CATLETT"</f>
        <v>CATLETT</v>
      </c>
      <c r="D3752" s="1" t="str">
        <f>"VA"</f>
        <v>VA</v>
      </c>
      <c r="E3752" s="2">
        <v>1</v>
      </c>
      <c r="F3752" s="2">
        <v>1</v>
      </c>
      <c r="G3752" s="2">
        <v>1</v>
      </c>
      <c r="H3752" s="2">
        <v>1</v>
      </c>
    </row>
    <row r="3753" spans="1:8" x14ac:dyDescent="0.25">
      <c r="A3753" s="1" t="str">
        <f>"22031"</f>
        <v>22031</v>
      </c>
      <c r="B3753" s="1" t="str">
        <f>"47894"</f>
        <v>47894</v>
      </c>
      <c r="C3753" s="1" t="str">
        <f>"FAIRFAX"</f>
        <v>FAIRFAX</v>
      </c>
      <c r="D3753" s="1" t="str">
        <f>"VA"</f>
        <v>VA</v>
      </c>
      <c r="E3753" s="2">
        <v>1</v>
      </c>
      <c r="F3753" s="2">
        <v>1</v>
      </c>
      <c r="G3753" s="2">
        <v>1</v>
      </c>
      <c r="H3753" s="2">
        <v>1</v>
      </c>
    </row>
    <row r="3754" spans="1:8" x14ac:dyDescent="0.25">
      <c r="A3754" s="1" t="str">
        <f>"22066"</f>
        <v>22066</v>
      </c>
      <c r="B3754" s="1" t="str">
        <f>"47894"</f>
        <v>47894</v>
      </c>
      <c r="C3754" s="1" t="str">
        <f>"GREAT FALLS"</f>
        <v>GREAT FALLS</v>
      </c>
      <c r="D3754" s="1" t="str">
        <f>"VA"</f>
        <v>VA</v>
      </c>
      <c r="E3754" s="2">
        <v>1</v>
      </c>
      <c r="F3754" s="2">
        <v>1</v>
      </c>
      <c r="G3754" s="2">
        <v>1</v>
      </c>
      <c r="H3754" s="2">
        <v>1</v>
      </c>
    </row>
    <row r="3755" spans="1:8" x14ac:dyDescent="0.25">
      <c r="A3755" s="1" t="str">
        <f>"22735"</f>
        <v>22735</v>
      </c>
      <c r="B3755" s="1" t="str">
        <f>"47894"</f>
        <v>47894</v>
      </c>
      <c r="C3755" s="1" t="str">
        <f>"REVA"</f>
        <v>REVA</v>
      </c>
      <c r="D3755" s="1" t="str">
        <f>"VA"</f>
        <v>VA</v>
      </c>
      <c r="E3755" s="2">
        <v>1</v>
      </c>
      <c r="F3755" s="2">
        <v>1</v>
      </c>
      <c r="G3755" s="2">
        <v>1</v>
      </c>
      <c r="H3755" s="2">
        <v>1</v>
      </c>
    </row>
    <row r="3756" spans="1:8" x14ac:dyDescent="0.25">
      <c r="A3756" s="1" t="str">
        <f>"33126"</f>
        <v>33126</v>
      </c>
      <c r="B3756" s="1" t="str">
        <f>"33124"</f>
        <v>33124</v>
      </c>
      <c r="C3756" s="1" t="str">
        <f>"MIAMI"</f>
        <v>MIAMI</v>
      </c>
      <c r="D3756" s="1" t="str">
        <f t="shared" ref="D3756:D3762" si="279">"FL"</f>
        <v>FL</v>
      </c>
      <c r="E3756" s="2">
        <v>1</v>
      </c>
      <c r="F3756" s="2">
        <v>1</v>
      </c>
      <c r="G3756" s="2">
        <v>1</v>
      </c>
      <c r="H3756" s="2">
        <v>1</v>
      </c>
    </row>
    <row r="3757" spans="1:8" x14ac:dyDescent="0.25">
      <c r="A3757" s="1" t="str">
        <f>"33125"</f>
        <v>33125</v>
      </c>
      <c r="B3757" s="1" t="str">
        <f>"33124"</f>
        <v>33124</v>
      </c>
      <c r="C3757" s="1" t="str">
        <f>"MIAMI"</f>
        <v>MIAMI</v>
      </c>
      <c r="D3757" s="1" t="str">
        <f t="shared" si="279"/>
        <v>FL</v>
      </c>
      <c r="E3757" s="2">
        <v>1</v>
      </c>
      <c r="F3757" s="2">
        <v>1</v>
      </c>
      <c r="G3757" s="2">
        <v>1</v>
      </c>
      <c r="H3757" s="2">
        <v>1</v>
      </c>
    </row>
    <row r="3758" spans="1:8" x14ac:dyDescent="0.25">
      <c r="A3758" s="1" t="str">
        <f>"33419"</f>
        <v>33419</v>
      </c>
      <c r="B3758" s="1" t="str">
        <f>"48424"</f>
        <v>48424</v>
      </c>
      <c r="C3758" s="1" t="str">
        <f>"WEST PALM BEACH"</f>
        <v>WEST PALM BEACH</v>
      </c>
      <c r="D3758" s="1" t="str">
        <f t="shared" si="279"/>
        <v>FL</v>
      </c>
      <c r="E3758" s="2">
        <v>1</v>
      </c>
      <c r="F3758" s="2">
        <v>1</v>
      </c>
      <c r="G3758" s="2">
        <v>1</v>
      </c>
      <c r="H3758" s="2">
        <v>1</v>
      </c>
    </row>
    <row r="3759" spans="1:8" x14ac:dyDescent="0.25">
      <c r="A3759" s="1" t="str">
        <f>"33486"</f>
        <v>33486</v>
      </c>
      <c r="B3759" s="1" t="str">
        <f>"48424"</f>
        <v>48424</v>
      </c>
      <c r="C3759" s="1" t="str">
        <f>"BOCA RATON"</f>
        <v>BOCA RATON</v>
      </c>
      <c r="D3759" s="1" t="str">
        <f t="shared" si="279"/>
        <v>FL</v>
      </c>
      <c r="E3759" s="2">
        <v>1</v>
      </c>
      <c r="F3759" s="2">
        <v>1</v>
      </c>
      <c r="G3759" s="2">
        <v>1</v>
      </c>
      <c r="H3759" s="2">
        <v>1</v>
      </c>
    </row>
    <row r="3760" spans="1:8" x14ac:dyDescent="0.25">
      <c r="A3760" s="1" t="str">
        <f>"33175"</f>
        <v>33175</v>
      </c>
      <c r="B3760" s="1" t="str">
        <f>"33124"</f>
        <v>33124</v>
      </c>
      <c r="C3760" s="1" t="str">
        <f>"MIAMI"</f>
        <v>MIAMI</v>
      </c>
      <c r="D3760" s="1" t="str">
        <f t="shared" si="279"/>
        <v>FL</v>
      </c>
      <c r="E3760" s="2">
        <v>1</v>
      </c>
      <c r="F3760" s="2">
        <v>1</v>
      </c>
      <c r="G3760" s="2">
        <v>1</v>
      </c>
      <c r="H3760" s="2">
        <v>1</v>
      </c>
    </row>
    <row r="3761" spans="1:8" x14ac:dyDescent="0.25">
      <c r="A3761" s="1" t="str">
        <f>"33166"</f>
        <v>33166</v>
      </c>
      <c r="B3761" s="1" t="str">
        <f>"33124"</f>
        <v>33124</v>
      </c>
      <c r="C3761" s="1" t="str">
        <f>"MIAMI"</f>
        <v>MIAMI</v>
      </c>
      <c r="D3761" s="1" t="str">
        <f t="shared" si="279"/>
        <v>FL</v>
      </c>
      <c r="E3761" s="2">
        <v>1</v>
      </c>
      <c r="F3761" s="2">
        <v>1</v>
      </c>
      <c r="G3761" s="2">
        <v>1</v>
      </c>
      <c r="H3761" s="2">
        <v>1</v>
      </c>
    </row>
    <row r="3762" spans="1:8" x14ac:dyDescent="0.25">
      <c r="A3762" s="1" t="str">
        <f>"33161"</f>
        <v>33161</v>
      </c>
      <c r="B3762" s="1" t="str">
        <f>"33124"</f>
        <v>33124</v>
      </c>
      <c r="C3762" s="1" t="str">
        <f>"MIAMI"</f>
        <v>MIAMI</v>
      </c>
      <c r="D3762" s="1" t="str">
        <f t="shared" si="279"/>
        <v>FL</v>
      </c>
      <c r="E3762" s="2">
        <v>1</v>
      </c>
      <c r="F3762" s="2">
        <v>1</v>
      </c>
      <c r="G3762" s="2">
        <v>1</v>
      </c>
      <c r="H3762" s="2">
        <v>1</v>
      </c>
    </row>
    <row r="3763" spans="1:8" x14ac:dyDescent="0.25">
      <c r="A3763" s="1" t="str">
        <f>"48025"</f>
        <v>48025</v>
      </c>
      <c r="B3763" s="1" t="str">
        <f t="shared" ref="B3763:B3769" si="280">"47664"</f>
        <v>47664</v>
      </c>
      <c r="C3763" s="1" t="str">
        <f>"FRANKLIN"</f>
        <v>FRANKLIN</v>
      </c>
      <c r="D3763" s="1" t="str">
        <f t="shared" ref="D3763:D3769" si="281">"MI"</f>
        <v>MI</v>
      </c>
      <c r="E3763" s="2">
        <v>1</v>
      </c>
      <c r="F3763" s="2">
        <v>1</v>
      </c>
      <c r="G3763" s="2">
        <v>1</v>
      </c>
      <c r="H3763" s="2">
        <v>1</v>
      </c>
    </row>
    <row r="3764" spans="1:8" x14ac:dyDescent="0.25">
      <c r="A3764" s="1" t="str">
        <f>"48043"</f>
        <v>48043</v>
      </c>
      <c r="B3764" s="1" t="str">
        <f t="shared" si="280"/>
        <v>47664</v>
      </c>
      <c r="C3764" s="1" t="str">
        <f>"MOUNT CLEMENS"</f>
        <v>MOUNT CLEMENS</v>
      </c>
      <c r="D3764" s="1" t="str">
        <f t="shared" si="281"/>
        <v>MI</v>
      </c>
      <c r="E3764" s="2">
        <v>1</v>
      </c>
      <c r="F3764" s="2">
        <v>1</v>
      </c>
      <c r="G3764" s="2">
        <v>1</v>
      </c>
      <c r="H3764" s="2">
        <v>1</v>
      </c>
    </row>
    <row r="3765" spans="1:8" x14ac:dyDescent="0.25">
      <c r="A3765" s="1" t="str">
        <f>"48084"</f>
        <v>48084</v>
      </c>
      <c r="B3765" s="1" t="str">
        <f t="shared" si="280"/>
        <v>47664</v>
      </c>
      <c r="C3765" s="1" t="str">
        <f>"TROY"</f>
        <v>TROY</v>
      </c>
      <c r="D3765" s="1" t="str">
        <f t="shared" si="281"/>
        <v>MI</v>
      </c>
      <c r="E3765" s="2">
        <v>1</v>
      </c>
      <c r="F3765" s="2">
        <v>1</v>
      </c>
      <c r="G3765" s="2">
        <v>1</v>
      </c>
      <c r="H3765" s="2">
        <v>1</v>
      </c>
    </row>
    <row r="3766" spans="1:8" x14ac:dyDescent="0.25">
      <c r="A3766" s="1" t="str">
        <f>"48097"</f>
        <v>48097</v>
      </c>
      <c r="B3766" s="1" t="str">
        <f t="shared" si="280"/>
        <v>47664</v>
      </c>
      <c r="C3766" s="1" t="str">
        <f>"YALE"</f>
        <v>YALE</v>
      </c>
      <c r="D3766" s="1" t="str">
        <f t="shared" si="281"/>
        <v>MI</v>
      </c>
      <c r="E3766" s="2">
        <v>1</v>
      </c>
      <c r="F3766" s="2">
        <v>1</v>
      </c>
      <c r="G3766" s="2">
        <v>1</v>
      </c>
      <c r="H3766" s="2">
        <v>1</v>
      </c>
    </row>
    <row r="3767" spans="1:8" x14ac:dyDescent="0.25">
      <c r="A3767" s="1" t="str">
        <f>"48327"</f>
        <v>48327</v>
      </c>
      <c r="B3767" s="1" t="str">
        <f t="shared" si="280"/>
        <v>47664</v>
      </c>
      <c r="C3767" s="1" t="str">
        <f>"WATERFORD"</f>
        <v>WATERFORD</v>
      </c>
      <c r="D3767" s="1" t="str">
        <f t="shared" si="281"/>
        <v>MI</v>
      </c>
      <c r="E3767" s="2">
        <v>1</v>
      </c>
      <c r="F3767" s="2">
        <v>1</v>
      </c>
      <c r="G3767" s="2">
        <v>1</v>
      </c>
      <c r="H3767" s="2">
        <v>1</v>
      </c>
    </row>
    <row r="3768" spans="1:8" x14ac:dyDescent="0.25">
      <c r="A3768" s="1" t="str">
        <f>"48362"</f>
        <v>48362</v>
      </c>
      <c r="B3768" s="1" t="str">
        <f t="shared" si="280"/>
        <v>47664</v>
      </c>
      <c r="C3768" s="1" t="str">
        <f>"LAKE ORION"</f>
        <v>LAKE ORION</v>
      </c>
      <c r="D3768" s="1" t="str">
        <f t="shared" si="281"/>
        <v>MI</v>
      </c>
      <c r="E3768" s="2">
        <v>1</v>
      </c>
      <c r="F3768" s="2">
        <v>1</v>
      </c>
      <c r="G3768" s="2">
        <v>1</v>
      </c>
      <c r="H3768" s="2">
        <v>1</v>
      </c>
    </row>
    <row r="3769" spans="1:8" x14ac:dyDescent="0.25">
      <c r="A3769" s="1" t="str">
        <f>"48855"</f>
        <v>48855</v>
      </c>
      <c r="B3769" s="1" t="str">
        <f t="shared" si="280"/>
        <v>47664</v>
      </c>
      <c r="C3769" s="1" t="str">
        <f>"HOWELL"</f>
        <v>HOWELL</v>
      </c>
      <c r="D3769" s="1" t="str">
        <f t="shared" si="281"/>
        <v>MI</v>
      </c>
      <c r="E3769" s="2">
        <v>1</v>
      </c>
      <c r="F3769" s="2">
        <v>1</v>
      </c>
      <c r="G3769" s="2">
        <v>1</v>
      </c>
      <c r="H3769" s="2">
        <v>1</v>
      </c>
    </row>
    <row r="3770" spans="1:8" x14ac:dyDescent="0.25">
      <c r="A3770" s="1" t="str">
        <f>"60433"</f>
        <v>60433</v>
      </c>
      <c r="B3770" s="1" t="str">
        <f>"16984"</f>
        <v>16984</v>
      </c>
      <c r="C3770" s="1" t="str">
        <f>"JOLIET"</f>
        <v>JOLIET</v>
      </c>
      <c r="D3770" s="1" t="str">
        <f t="shared" ref="D3770:D3781" si="282">"IL"</f>
        <v>IL</v>
      </c>
      <c r="E3770" s="2">
        <v>1</v>
      </c>
      <c r="F3770" s="2">
        <v>1</v>
      </c>
      <c r="G3770" s="2">
        <v>1</v>
      </c>
      <c r="H3770" s="2">
        <v>1</v>
      </c>
    </row>
    <row r="3771" spans="1:8" x14ac:dyDescent="0.25">
      <c r="A3771" s="1" t="str">
        <f>"60458"</f>
        <v>60458</v>
      </c>
      <c r="B3771" s="1" t="str">
        <f>"16984"</f>
        <v>16984</v>
      </c>
      <c r="C3771" s="1" t="str">
        <f>"JUSTICE"</f>
        <v>JUSTICE</v>
      </c>
      <c r="D3771" s="1" t="str">
        <f t="shared" si="282"/>
        <v>IL</v>
      </c>
      <c r="E3771" s="2">
        <v>1</v>
      </c>
      <c r="F3771" s="2">
        <v>1</v>
      </c>
      <c r="G3771" s="2">
        <v>1</v>
      </c>
      <c r="H3771" s="2">
        <v>1</v>
      </c>
    </row>
    <row r="3772" spans="1:8" x14ac:dyDescent="0.25">
      <c r="A3772" s="1" t="str">
        <f>"60152"</f>
        <v>60152</v>
      </c>
      <c r="B3772" s="1" t="str">
        <f>"16984"</f>
        <v>16984</v>
      </c>
      <c r="C3772" s="1" t="str">
        <f>"MARENGO"</f>
        <v>MARENGO</v>
      </c>
      <c r="D3772" s="1" t="str">
        <f t="shared" si="282"/>
        <v>IL</v>
      </c>
      <c r="E3772" s="2">
        <v>0.997146932952924</v>
      </c>
      <c r="F3772" s="2">
        <v>1</v>
      </c>
      <c r="G3772" s="2">
        <v>1</v>
      </c>
      <c r="H3772" s="2">
        <v>0.99742433998712099</v>
      </c>
    </row>
    <row r="3773" spans="1:8" x14ac:dyDescent="0.25">
      <c r="A3773" s="1" t="str">
        <f>"60152"</f>
        <v>60152</v>
      </c>
      <c r="B3773" s="1" t="str">
        <f>"20994"</f>
        <v>20994</v>
      </c>
      <c r="C3773" s="1" t="str">
        <f>"MARENGO"</f>
        <v>MARENGO</v>
      </c>
      <c r="D3773" s="1" t="str">
        <f t="shared" si="282"/>
        <v>IL</v>
      </c>
      <c r="E3773" s="2">
        <v>2.8530670470755999E-3</v>
      </c>
      <c r="F3773" s="2">
        <v>0</v>
      </c>
      <c r="G3773" s="2">
        <v>0</v>
      </c>
      <c r="H3773" s="2">
        <v>2.5756600128783E-3</v>
      </c>
    </row>
    <row r="3774" spans="1:8" x14ac:dyDescent="0.25">
      <c r="A3774" s="1" t="str">
        <f>"60016"</f>
        <v>60016</v>
      </c>
      <c r="B3774" s="1" t="str">
        <f>"16984"</f>
        <v>16984</v>
      </c>
      <c r="C3774" s="1" t="str">
        <f>"DES PLAINES"</f>
        <v>DES PLAINES</v>
      </c>
      <c r="D3774" s="1" t="str">
        <f t="shared" si="282"/>
        <v>IL</v>
      </c>
      <c r="E3774" s="2">
        <v>1</v>
      </c>
      <c r="F3774" s="2">
        <v>1</v>
      </c>
      <c r="G3774" s="2">
        <v>1</v>
      </c>
      <c r="H3774" s="2">
        <v>1</v>
      </c>
    </row>
    <row r="3775" spans="1:8" x14ac:dyDescent="0.25">
      <c r="A3775" s="1" t="str">
        <f>"60018"</f>
        <v>60018</v>
      </c>
      <c r="B3775" s="1" t="str">
        <f>"16984"</f>
        <v>16984</v>
      </c>
      <c r="C3775" s="1" t="str">
        <f>"DES PLAINES"</f>
        <v>DES PLAINES</v>
      </c>
      <c r="D3775" s="1" t="str">
        <f t="shared" si="282"/>
        <v>IL</v>
      </c>
      <c r="E3775" s="2">
        <v>1</v>
      </c>
      <c r="F3775" s="2">
        <v>1</v>
      </c>
      <c r="G3775" s="2">
        <v>1</v>
      </c>
      <c r="H3775" s="2">
        <v>1</v>
      </c>
    </row>
    <row r="3776" spans="1:8" x14ac:dyDescent="0.25">
      <c r="A3776" s="1" t="str">
        <f>"60020"</f>
        <v>60020</v>
      </c>
      <c r="B3776" s="1" t="str">
        <f>"29404"</f>
        <v>29404</v>
      </c>
      <c r="C3776" s="1" t="str">
        <f>"FOX LAKE"</f>
        <v>FOX LAKE</v>
      </c>
      <c r="D3776" s="1" t="str">
        <f t="shared" si="282"/>
        <v>IL</v>
      </c>
      <c r="E3776" s="2">
        <v>0.98078572653971496</v>
      </c>
      <c r="F3776" s="2">
        <v>0.99508599508599505</v>
      </c>
      <c r="G3776" s="2">
        <v>1</v>
      </c>
      <c r="H3776" s="2">
        <v>0.98286744815148697</v>
      </c>
    </row>
    <row r="3777" spans="1:8" x14ac:dyDescent="0.25">
      <c r="A3777" s="1" t="str">
        <f>"60020"</f>
        <v>60020</v>
      </c>
      <c r="B3777" s="1" t="str">
        <f>"16984"</f>
        <v>16984</v>
      </c>
      <c r="C3777" s="1" t="str">
        <f>"FOX LAKE"</f>
        <v>FOX LAKE</v>
      </c>
      <c r="D3777" s="1" t="str">
        <f t="shared" si="282"/>
        <v>IL</v>
      </c>
      <c r="E3777" s="2">
        <v>1.92142734602847E-2</v>
      </c>
      <c r="F3777" s="2">
        <v>4.9140049140049104E-3</v>
      </c>
      <c r="G3777" s="2">
        <v>0</v>
      </c>
      <c r="H3777" s="2">
        <v>1.71325518485121E-2</v>
      </c>
    </row>
    <row r="3778" spans="1:8" x14ac:dyDescent="0.25">
      <c r="A3778" s="1" t="str">
        <f>"60074"</f>
        <v>60074</v>
      </c>
      <c r="B3778" s="1" t="str">
        <f>"29404"</f>
        <v>29404</v>
      </c>
      <c r="C3778" s="1" t="str">
        <f>"PALATINE"</f>
        <v>PALATINE</v>
      </c>
      <c r="D3778" s="1" t="str">
        <f t="shared" si="282"/>
        <v>IL</v>
      </c>
      <c r="E3778" s="2">
        <v>4.0852802246904097E-3</v>
      </c>
      <c r="F3778" s="2">
        <v>9.8650051921079895E-2</v>
      </c>
      <c r="G3778" s="2">
        <v>7.8740157480314907E-3</v>
      </c>
      <c r="H3778" s="2">
        <v>9.3676814988290294E-3</v>
      </c>
    </row>
    <row r="3779" spans="1:8" x14ac:dyDescent="0.25">
      <c r="A3779" s="1" t="str">
        <f>"60074"</f>
        <v>60074</v>
      </c>
      <c r="B3779" s="1" t="str">
        <f>"16984"</f>
        <v>16984</v>
      </c>
      <c r="C3779" s="1" t="str">
        <f>"PALATINE"</f>
        <v>PALATINE</v>
      </c>
      <c r="D3779" s="1" t="str">
        <f t="shared" si="282"/>
        <v>IL</v>
      </c>
      <c r="E3779" s="2">
        <v>0.99591471977530899</v>
      </c>
      <c r="F3779" s="2">
        <v>0.90134994807891999</v>
      </c>
      <c r="G3779" s="2">
        <v>0.99212598425196796</v>
      </c>
      <c r="H3779" s="2">
        <v>0.99063231850116995</v>
      </c>
    </row>
    <row r="3780" spans="1:8" x14ac:dyDescent="0.25">
      <c r="A3780" s="1" t="str">
        <f>"60104"</f>
        <v>60104</v>
      </c>
      <c r="B3780" s="1" t="str">
        <f>"16984"</f>
        <v>16984</v>
      </c>
      <c r="C3780" s="1" t="str">
        <f>"BELLWOOD"</f>
        <v>BELLWOOD</v>
      </c>
      <c r="D3780" s="1" t="str">
        <f t="shared" si="282"/>
        <v>IL</v>
      </c>
      <c r="E3780" s="2">
        <v>1</v>
      </c>
      <c r="F3780" s="2">
        <v>1</v>
      </c>
      <c r="G3780" s="2">
        <v>1</v>
      </c>
      <c r="H3780" s="2">
        <v>1</v>
      </c>
    </row>
    <row r="3781" spans="1:8" x14ac:dyDescent="0.25">
      <c r="A3781" s="1" t="str">
        <f>"60827"</f>
        <v>60827</v>
      </c>
      <c r="B3781" s="1" t="str">
        <f>"16984"</f>
        <v>16984</v>
      </c>
      <c r="C3781" s="1" t="str">
        <f>"RIVERDALE"</f>
        <v>RIVERDALE</v>
      </c>
      <c r="D3781" s="1" t="str">
        <f t="shared" si="282"/>
        <v>IL</v>
      </c>
      <c r="E3781" s="2">
        <v>1</v>
      </c>
      <c r="F3781" s="2">
        <v>1</v>
      </c>
      <c r="G3781" s="2">
        <v>1</v>
      </c>
      <c r="H3781" s="2">
        <v>1</v>
      </c>
    </row>
    <row r="3782" spans="1:8" x14ac:dyDescent="0.25">
      <c r="A3782" s="1" t="str">
        <f>"75001"</f>
        <v>75001</v>
      </c>
      <c r="B3782" s="1" t="str">
        <f t="shared" ref="B3782:B3788" si="283">"19124"</f>
        <v>19124</v>
      </c>
      <c r="C3782" s="1" t="str">
        <f>"ADDISON"</f>
        <v>ADDISON</v>
      </c>
      <c r="D3782" s="1" t="str">
        <f t="shared" ref="D3782:D3791" si="284">"TX"</f>
        <v>TX</v>
      </c>
      <c r="E3782" s="2">
        <v>1</v>
      </c>
      <c r="F3782" s="2">
        <v>1</v>
      </c>
      <c r="G3782" s="2">
        <v>1</v>
      </c>
      <c r="H3782" s="2">
        <v>1</v>
      </c>
    </row>
    <row r="3783" spans="1:8" x14ac:dyDescent="0.25">
      <c r="A3783" s="1" t="str">
        <f>"75060"</f>
        <v>75060</v>
      </c>
      <c r="B3783" s="1" t="str">
        <f t="shared" si="283"/>
        <v>19124</v>
      </c>
      <c r="C3783" s="1" t="str">
        <f>"IRVING"</f>
        <v>IRVING</v>
      </c>
      <c r="D3783" s="1" t="str">
        <f t="shared" si="284"/>
        <v>TX</v>
      </c>
      <c r="E3783" s="2">
        <v>1</v>
      </c>
      <c r="F3783" s="2">
        <v>1</v>
      </c>
      <c r="G3783" s="2">
        <v>1</v>
      </c>
      <c r="H3783" s="2">
        <v>1</v>
      </c>
    </row>
    <row r="3784" spans="1:8" x14ac:dyDescent="0.25">
      <c r="A3784" s="1" t="str">
        <f>"75240"</f>
        <v>75240</v>
      </c>
      <c r="B3784" s="1" t="str">
        <f t="shared" si="283"/>
        <v>19124</v>
      </c>
      <c r="C3784" s="1" t="str">
        <f>"DALLAS"</f>
        <v>DALLAS</v>
      </c>
      <c r="D3784" s="1" t="str">
        <f t="shared" si="284"/>
        <v>TX</v>
      </c>
      <c r="E3784" s="2">
        <v>1</v>
      </c>
      <c r="F3784" s="2">
        <v>1</v>
      </c>
      <c r="G3784" s="2">
        <v>1</v>
      </c>
      <c r="H3784" s="2">
        <v>1</v>
      </c>
    </row>
    <row r="3785" spans="1:8" x14ac:dyDescent="0.25">
      <c r="A3785" s="1" t="str">
        <f>"75254"</f>
        <v>75254</v>
      </c>
      <c r="B3785" s="1" t="str">
        <f t="shared" si="283"/>
        <v>19124</v>
      </c>
      <c r="C3785" s="1" t="str">
        <f>"DALLAS"</f>
        <v>DALLAS</v>
      </c>
      <c r="D3785" s="1" t="str">
        <f t="shared" si="284"/>
        <v>TX</v>
      </c>
      <c r="E3785" s="2">
        <v>1</v>
      </c>
      <c r="F3785" s="2">
        <v>1</v>
      </c>
      <c r="G3785" s="2">
        <v>1</v>
      </c>
      <c r="H3785" s="2">
        <v>1</v>
      </c>
    </row>
    <row r="3786" spans="1:8" x14ac:dyDescent="0.25">
      <c r="A3786" s="1" t="str">
        <f>"75219"</f>
        <v>75219</v>
      </c>
      <c r="B3786" s="1" t="str">
        <f t="shared" si="283"/>
        <v>19124</v>
      </c>
      <c r="C3786" s="1" t="str">
        <f>"DALLAS"</f>
        <v>DALLAS</v>
      </c>
      <c r="D3786" s="1" t="str">
        <f t="shared" si="284"/>
        <v>TX</v>
      </c>
      <c r="E3786" s="2">
        <v>1</v>
      </c>
      <c r="F3786" s="2">
        <v>1</v>
      </c>
      <c r="G3786" s="2">
        <v>1</v>
      </c>
      <c r="H3786" s="2">
        <v>1</v>
      </c>
    </row>
    <row r="3787" spans="1:8" x14ac:dyDescent="0.25">
      <c r="A3787" s="1" t="str">
        <f>"75078"</f>
        <v>75078</v>
      </c>
      <c r="B3787" s="1" t="str">
        <f t="shared" si="283"/>
        <v>19124</v>
      </c>
      <c r="C3787" s="1" t="str">
        <f>"PROSPER"</f>
        <v>PROSPER</v>
      </c>
      <c r="D3787" s="1" t="str">
        <f t="shared" si="284"/>
        <v>TX</v>
      </c>
      <c r="E3787" s="2">
        <v>1</v>
      </c>
      <c r="F3787" s="2">
        <v>1</v>
      </c>
      <c r="G3787" s="2">
        <v>1</v>
      </c>
      <c r="H3787" s="2">
        <v>1</v>
      </c>
    </row>
    <row r="3788" spans="1:8" x14ac:dyDescent="0.25">
      <c r="A3788" s="1" t="str">
        <f>"75068"</f>
        <v>75068</v>
      </c>
      <c r="B3788" s="1" t="str">
        <f t="shared" si="283"/>
        <v>19124</v>
      </c>
      <c r="C3788" s="1" t="str">
        <f>"LITTLE ELM"</f>
        <v>LITTLE ELM</v>
      </c>
      <c r="D3788" s="1" t="str">
        <f t="shared" si="284"/>
        <v>TX</v>
      </c>
      <c r="E3788" s="2">
        <v>1</v>
      </c>
      <c r="F3788" s="2">
        <v>1</v>
      </c>
      <c r="G3788" s="2">
        <v>1</v>
      </c>
      <c r="H3788" s="2">
        <v>1</v>
      </c>
    </row>
    <row r="3789" spans="1:8" x14ac:dyDescent="0.25">
      <c r="A3789" s="1" t="str">
        <f>"76085"</f>
        <v>76085</v>
      </c>
      <c r="B3789" s="1" t="str">
        <f>"23104"</f>
        <v>23104</v>
      </c>
      <c r="C3789" s="1" t="str">
        <f>"WEATHERFORD"</f>
        <v>WEATHERFORD</v>
      </c>
      <c r="D3789" s="1" t="str">
        <f t="shared" si="284"/>
        <v>TX</v>
      </c>
      <c r="E3789" s="2">
        <v>1</v>
      </c>
      <c r="F3789" s="2">
        <v>1</v>
      </c>
      <c r="G3789" s="2">
        <v>1</v>
      </c>
      <c r="H3789" s="2">
        <v>1</v>
      </c>
    </row>
    <row r="3790" spans="1:8" x14ac:dyDescent="0.25">
      <c r="A3790" s="1" t="str">
        <f>"76162"</f>
        <v>76162</v>
      </c>
      <c r="B3790" s="1" t="str">
        <f>"23104"</f>
        <v>23104</v>
      </c>
      <c r="C3790" s="1" t="str">
        <f>"FORT WORTH"</f>
        <v>FORT WORTH</v>
      </c>
      <c r="D3790" s="1" t="str">
        <f t="shared" si="284"/>
        <v>TX</v>
      </c>
      <c r="E3790" s="2">
        <v>1</v>
      </c>
      <c r="F3790" s="2">
        <v>1</v>
      </c>
      <c r="G3790" s="2">
        <v>1</v>
      </c>
      <c r="H3790" s="2">
        <v>1</v>
      </c>
    </row>
    <row r="3791" spans="1:8" x14ac:dyDescent="0.25">
      <c r="A3791" s="1" t="str">
        <f>"76116"</f>
        <v>76116</v>
      </c>
      <c r="B3791" s="1" t="str">
        <f>"23104"</f>
        <v>23104</v>
      </c>
      <c r="C3791" s="1" t="str">
        <f>"FORT WORTH"</f>
        <v>FORT WORTH</v>
      </c>
      <c r="D3791" s="1" t="str">
        <f t="shared" si="284"/>
        <v>TX</v>
      </c>
      <c r="E3791" s="2">
        <v>1</v>
      </c>
      <c r="F3791" s="2">
        <v>1</v>
      </c>
      <c r="G3791" s="2">
        <v>1</v>
      </c>
      <c r="H3791" s="2">
        <v>1</v>
      </c>
    </row>
    <row r="3792" spans="1:8" x14ac:dyDescent="0.25">
      <c r="A3792" s="1" t="str">
        <f>"90033"</f>
        <v>90033</v>
      </c>
      <c r="B3792" s="1" t="str">
        <f t="shared" ref="B3792:B3801" si="285">"31084"</f>
        <v>31084</v>
      </c>
      <c r="C3792" s="1" t="str">
        <f>"LOS ANGELES"</f>
        <v>LOS ANGELES</v>
      </c>
      <c r="D3792" s="1" t="str">
        <f t="shared" ref="D3792:D3808" si="286">"CA"</f>
        <v>CA</v>
      </c>
      <c r="E3792" s="2">
        <v>1</v>
      </c>
      <c r="F3792" s="2">
        <v>1</v>
      </c>
      <c r="G3792" s="2">
        <v>1</v>
      </c>
      <c r="H3792" s="2">
        <v>1</v>
      </c>
    </row>
    <row r="3793" spans="1:8" x14ac:dyDescent="0.25">
      <c r="A3793" s="1" t="str">
        <f>"90065"</f>
        <v>90065</v>
      </c>
      <c r="B3793" s="1" t="str">
        <f t="shared" si="285"/>
        <v>31084</v>
      </c>
      <c r="C3793" s="1" t="str">
        <f>"LOS ANGELES"</f>
        <v>LOS ANGELES</v>
      </c>
      <c r="D3793" s="1" t="str">
        <f t="shared" si="286"/>
        <v>CA</v>
      </c>
      <c r="E3793" s="2">
        <v>1</v>
      </c>
      <c r="F3793" s="2">
        <v>1</v>
      </c>
      <c r="G3793" s="2">
        <v>1</v>
      </c>
      <c r="H3793" s="2">
        <v>1</v>
      </c>
    </row>
    <row r="3794" spans="1:8" x14ac:dyDescent="0.25">
      <c r="A3794" s="1" t="str">
        <f>"91351"</f>
        <v>91351</v>
      </c>
      <c r="B3794" s="1" t="str">
        <f t="shared" si="285"/>
        <v>31084</v>
      </c>
      <c r="C3794" s="1" t="str">
        <f>"CANYON COUNTRY"</f>
        <v>CANYON COUNTRY</v>
      </c>
      <c r="D3794" s="1" t="str">
        <f t="shared" si="286"/>
        <v>CA</v>
      </c>
      <c r="E3794" s="2">
        <v>1</v>
      </c>
      <c r="F3794" s="2">
        <v>1</v>
      </c>
      <c r="G3794" s="2">
        <v>1</v>
      </c>
      <c r="H3794" s="2">
        <v>1</v>
      </c>
    </row>
    <row r="3795" spans="1:8" x14ac:dyDescent="0.25">
      <c r="A3795" s="1" t="str">
        <f>"91615"</f>
        <v>91615</v>
      </c>
      <c r="B3795" s="1" t="str">
        <f t="shared" si="285"/>
        <v>31084</v>
      </c>
      <c r="C3795" s="1" t="str">
        <f>"NORTH HOLLYWOOD"</f>
        <v>NORTH HOLLYWOOD</v>
      </c>
      <c r="D3795" s="1" t="str">
        <f t="shared" si="286"/>
        <v>CA</v>
      </c>
      <c r="E3795" s="2">
        <v>1</v>
      </c>
      <c r="F3795" s="2">
        <v>1</v>
      </c>
      <c r="G3795" s="2">
        <v>1</v>
      </c>
      <c r="H3795" s="2">
        <v>1</v>
      </c>
    </row>
    <row r="3796" spans="1:8" x14ac:dyDescent="0.25">
      <c r="A3796" s="1" t="str">
        <f>"91308"</f>
        <v>91308</v>
      </c>
      <c r="B3796" s="1" t="str">
        <f t="shared" si="285"/>
        <v>31084</v>
      </c>
      <c r="C3796" s="1" t="str">
        <f>"WEST HILLS"</f>
        <v>WEST HILLS</v>
      </c>
      <c r="D3796" s="1" t="str">
        <f t="shared" si="286"/>
        <v>CA</v>
      </c>
      <c r="E3796" s="2">
        <v>1</v>
      </c>
      <c r="F3796" s="2">
        <v>1</v>
      </c>
      <c r="G3796" s="2">
        <v>1</v>
      </c>
      <c r="H3796" s="2">
        <v>1</v>
      </c>
    </row>
    <row r="3797" spans="1:8" x14ac:dyDescent="0.25">
      <c r="A3797" s="1" t="str">
        <f>"90660"</f>
        <v>90660</v>
      </c>
      <c r="B3797" s="1" t="str">
        <f t="shared" si="285"/>
        <v>31084</v>
      </c>
      <c r="C3797" s="1" t="str">
        <f>"PICO RIVERA"</f>
        <v>PICO RIVERA</v>
      </c>
      <c r="D3797" s="1" t="str">
        <f t="shared" si="286"/>
        <v>CA</v>
      </c>
      <c r="E3797" s="2">
        <v>1</v>
      </c>
      <c r="F3797" s="2">
        <v>1</v>
      </c>
      <c r="G3797" s="2">
        <v>1</v>
      </c>
      <c r="H3797" s="2">
        <v>1</v>
      </c>
    </row>
    <row r="3798" spans="1:8" x14ac:dyDescent="0.25">
      <c r="A3798" s="1" t="str">
        <f>"90744"</f>
        <v>90744</v>
      </c>
      <c r="B3798" s="1" t="str">
        <f t="shared" si="285"/>
        <v>31084</v>
      </c>
      <c r="C3798" s="1" t="str">
        <f>"WILMINGTON"</f>
        <v>WILMINGTON</v>
      </c>
      <c r="D3798" s="1" t="str">
        <f t="shared" si="286"/>
        <v>CA</v>
      </c>
      <c r="E3798" s="2">
        <v>1</v>
      </c>
      <c r="F3798" s="2">
        <v>1</v>
      </c>
      <c r="G3798" s="2">
        <v>1</v>
      </c>
      <c r="H3798" s="2">
        <v>1</v>
      </c>
    </row>
    <row r="3799" spans="1:8" x14ac:dyDescent="0.25">
      <c r="A3799" s="1" t="str">
        <f>"91108"</f>
        <v>91108</v>
      </c>
      <c r="B3799" s="1" t="str">
        <f t="shared" si="285"/>
        <v>31084</v>
      </c>
      <c r="C3799" s="1" t="str">
        <f>"SAN MARINO"</f>
        <v>SAN MARINO</v>
      </c>
      <c r="D3799" s="1" t="str">
        <f t="shared" si="286"/>
        <v>CA</v>
      </c>
      <c r="E3799" s="2">
        <v>1</v>
      </c>
      <c r="F3799" s="2">
        <v>1</v>
      </c>
      <c r="G3799" s="2">
        <v>1</v>
      </c>
      <c r="H3799" s="2">
        <v>1</v>
      </c>
    </row>
    <row r="3800" spans="1:8" x14ac:dyDescent="0.25">
      <c r="A3800" s="1" t="str">
        <f>"91066"</f>
        <v>91066</v>
      </c>
      <c r="B3800" s="1" t="str">
        <f t="shared" si="285"/>
        <v>31084</v>
      </c>
      <c r="C3800" s="1" t="str">
        <f>"ARCADIA"</f>
        <v>ARCADIA</v>
      </c>
      <c r="D3800" s="1" t="str">
        <f t="shared" si="286"/>
        <v>CA</v>
      </c>
      <c r="E3800" s="2">
        <v>1</v>
      </c>
      <c r="F3800" s="2">
        <v>1</v>
      </c>
      <c r="G3800" s="2">
        <v>1</v>
      </c>
      <c r="H3800" s="2">
        <v>1</v>
      </c>
    </row>
    <row r="3801" spans="1:8" x14ac:dyDescent="0.25">
      <c r="A3801" s="1" t="str">
        <f>"91011"</f>
        <v>91011</v>
      </c>
      <c r="B3801" s="1" t="str">
        <f t="shared" si="285"/>
        <v>31084</v>
      </c>
      <c r="C3801" s="1" t="str">
        <f>"LA CANADA FLINTRIDGE"</f>
        <v>LA CANADA FLINTRIDGE</v>
      </c>
      <c r="D3801" s="1" t="str">
        <f t="shared" si="286"/>
        <v>CA</v>
      </c>
      <c r="E3801" s="2">
        <v>1</v>
      </c>
      <c r="F3801" s="2">
        <v>1</v>
      </c>
      <c r="G3801" s="2">
        <v>1</v>
      </c>
      <c r="H3801" s="2">
        <v>1</v>
      </c>
    </row>
    <row r="3802" spans="1:8" x14ac:dyDescent="0.25">
      <c r="A3802" s="1" t="str">
        <f>"92683"</f>
        <v>92683</v>
      </c>
      <c r="B3802" s="1" t="str">
        <f>"11244"</f>
        <v>11244</v>
      </c>
      <c r="C3802" s="1" t="str">
        <f>"WESTMINSTER"</f>
        <v>WESTMINSTER</v>
      </c>
      <c r="D3802" s="1" t="str">
        <f t="shared" si="286"/>
        <v>CA</v>
      </c>
      <c r="E3802" s="2">
        <v>1</v>
      </c>
      <c r="F3802" s="2">
        <v>1</v>
      </c>
      <c r="G3802" s="2">
        <v>1</v>
      </c>
      <c r="H3802" s="2">
        <v>1</v>
      </c>
    </row>
    <row r="3803" spans="1:8" x14ac:dyDescent="0.25">
      <c r="A3803" s="1" t="str">
        <f>"92655"</f>
        <v>92655</v>
      </c>
      <c r="B3803" s="1" t="str">
        <f>"11244"</f>
        <v>11244</v>
      </c>
      <c r="C3803" s="1" t="str">
        <f>"MIDWAY CITY"</f>
        <v>MIDWAY CITY</v>
      </c>
      <c r="D3803" s="1" t="str">
        <f t="shared" si="286"/>
        <v>CA</v>
      </c>
      <c r="E3803" s="2">
        <v>1</v>
      </c>
      <c r="F3803" s="2">
        <v>1</v>
      </c>
      <c r="G3803" s="2">
        <v>1</v>
      </c>
      <c r="H3803" s="2">
        <v>1</v>
      </c>
    </row>
    <row r="3804" spans="1:8" x14ac:dyDescent="0.25">
      <c r="A3804" s="1" t="str">
        <f>"91207"</f>
        <v>91207</v>
      </c>
      <c r="B3804" s="1" t="str">
        <f>"31084"</f>
        <v>31084</v>
      </c>
      <c r="C3804" s="1" t="str">
        <f>"GLENDALE"</f>
        <v>GLENDALE</v>
      </c>
      <c r="D3804" s="1" t="str">
        <f t="shared" si="286"/>
        <v>CA</v>
      </c>
      <c r="E3804" s="2">
        <v>1</v>
      </c>
      <c r="F3804" s="2">
        <v>1</v>
      </c>
      <c r="G3804" s="2">
        <v>1</v>
      </c>
      <c r="H3804" s="2">
        <v>1</v>
      </c>
    </row>
    <row r="3805" spans="1:8" x14ac:dyDescent="0.25">
      <c r="A3805" s="1" t="str">
        <f>"94555"</f>
        <v>94555</v>
      </c>
      <c r="B3805" s="1" t="str">
        <f>"36084"</f>
        <v>36084</v>
      </c>
      <c r="C3805" s="1" t="str">
        <f>"FREMONT"</f>
        <v>FREMONT</v>
      </c>
      <c r="D3805" s="1" t="str">
        <f t="shared" si="286"/>
        <v>CA</v>
      </c>
      <c r="E3805" s="2">
        <v>1</v>
      </c>
      <c r="F3805" s="2">
        <v>1</v>
      </c>
      <c r="G3805" s="2">
        <v>1</v>
      </c>
      <c r="H3805" s="2">
        <v>1</v>
      </c>
    </row>
    <row r="3806" spans="1:8" x14ac:dyDescent="0.25">
      <c r="A3806" s="1" t="str">
        <f>"94561"</f>
        <v>94561</v>
      </c>
      <c r="B3806" s="1" t="str">
        <f>"36084"</f>
        <v>36084</v>
      </c>
      <c r="C3806" s="1" t="str">
        <f>"OAKLEY"</f>
        <v>OAKLEY</v>
      </c>
      <c r="D3806" s="1" t="str">
        <f t="shared" si="286"/>
        <v>CA</v>
      </c>
      <c r="E3806" s="2">
        <v>1</v>
      </c>
      <c r="F3806" s="2">
        <v>1</v>
      </c>
      <c r="G3806" s="2">
        <v>1</v>
      </c>
      <c r="H3806" s="2">
        <v>1</v>
      </c>
    </row>
    <row r="3807" spans="1:8" x14ac:dyDescent="0.25">
      <c r="A3807" s="1" t="str">
        <f>"94596"</f>
        <v>94596</v>
      </c>
      <c r="B3807" s="1" t="str">
        <f>"36084"</f>
        <v>36084</v>
      </c>
      <c r="C3807" s="1" t="str">
        <f>"WALNUT CREEK"</f>
        <v>WALNUT CREEK</v>
      </c>
      <c r="D3807" s="1" t="str">
        <f t="shared" si="286"/>
        <v>CA</v>
      </c>
      <c r="E3807" s="2">
        <v>1</v>
      </c>
      <c r="F3807" s="2">
        <v>1</v>
      </c>
      <c r="G3807" s="2">
        <v>1</v>
      </c>
      <c r="H3807" s="2">
        <v>1</v>
      </c>
    </row>
    <row r="3808" spans="1:8" x14ac:dyDescent="0.25">
      <c r="A3808" s="1" t="str">
        <f>"94597"</f>
        <v>94597</v>
      </c>
      <c r="B3808" s="1" t="str">
        <f>"36084"</f>
        <v>36084</v>
      </c>
      <c r="C3808" s="1" t="str">
        <f>"WALNUT CREEK"</f>
        <v>WALNUT CREEK</v>
      </c>
      <c r="D3808" s="1" t="str">
        <f t="shared" si="286"/>
        <v>CA</v>
      </c>
      <c r="E3808" s="2">
        <v>1</v>
      </c>
      <c r="F3808" s="2">
        <v>1</v>
      </c>
      <c r="G3808" s="2">
        <v>1</v>
      </c>
      <c r="H3808" s="2">
        <v>1</v>
      </c>
    </row>
    <row r="3809" spans="1:8" x14ac:dyDescent="0.25">
      <c r="A3809" s="1" t="str">
        <f>"98036"</f>
        <v>98036</v>
      </c>
      <c r="B3809" s="1" t="str">
        <f>"42644"</f>
        <v>42644</v>
      </c>
      <c r="C3809" s="1" t="str">
        <f>"LYNNWOOD"</f>
        <v>LYNNWOOD</v>
      </c>
      <c r="D3809" s="1" t="str">
        <f>"WA"</f>
        <v>WA</v>
      </c>
      <c r="E3809" s="2">
        <v>1</v>
      </c>
      <c r="F3809" s="2">
        <v>1</v>
      </c>
      <c r="G3809" s="2">
        <v>1</v>
      </c>
      <c r="H3809" s="2">
        <v>1</v>
      </c>
    </row>
    <row r="3810" spans="1:8" x14ac:dyDescent="0.25">
      <c r="A3810" s="1" t="str">
        <f>"98043"</f>
        <v>98043</v>
      </c>
      <c r="B3810" s="1" t="str">
        <f>"42644"</f>
        <v>42644</v>
      </c>
      <c r="C3810" s="1" t="str">
        <f>"MOUNTLAKE TERRACE"</f>
        <v>MOUNTLAKE TERRACE</v>
      </c>
      <c r="D3810" s="1" t="str">
        <f>"WA"</f>
        <v>WA</v>
      </c>
      <c r="E3810" s="2">
        <v>1</v>
      </c>
      <c r="F3810" s="2">
        <v>1</v>
      </c>
      <c r="G3810" s="2">
        <v>1</v>
      </c>
      <c r="H3810" s="2">
        <v>1</v>
      </c>
    </row>
    <row r="3811" spans="1:8" x14ac:dyDescent="0.25">
      <c r="A3811" s="1" t="str">
        <f>"98178"</f>
        <v>98178</v>
      </c>
      <c r="B3811" s="1" t="str">
        <f>"42644"</f>
        <v>42644</v>
      </c>
      <c r="C3811" s="1" t="str">
        <f>"SEATTLE"</f>
        <v>SEATTLE</v>
      </c>
      <c r="D3811" s="1" t="str">
        <f>"WA"</f>
        <v>WA</v>
      </c>
      <c r="E3811" s="2">
        <v>1</v>
      </c>
      <c r="F3811" s="2">
        <v>1</v>
      </c>
      <c r="G3811" s="2">
        <v>1</v>
      </c>
      <c r="H3811" s="2">
        <v>1</v>
      </c>
    </row>
    <row r="3812" spans="1:8" x14ac:dyDescent="0.25">
      <c r="A3812" s="1" t="str">
        <f>"98271"</f>
        <v>98271</v>
      </c>
      <c r="B3812" s="1" t="str">
        <f>"42644"</f>
        <v>42644</v>
      </c>
      <c r="C3812" s="1" t="str">
        <f>"MARYSVILLE"</f>
        <v>MARYSVILLE</v>
      </c>
      <c r="D3812" s="1" t="str">
        <f>"WA"</f>
        <v>WA</v>
      </c>
      <c r="E3812" s="2">
        <v>1</v>
      </c>
      <c r="F3812" s="2">
        <v>1</v>
      </c>
      <c r="G3812" s="2">
        <v>1</v>
      </c>
      <c r="H3812" s="2">
        <v>1</v>
      </c>
    </row>
    <row r="3813" spans="1:8" x14ac:dyDescent="0.25">
      <c r="A3813" s="1" t="str">
        <f>"98251"</f>
        <v>98251</v>
      </c>
      <c r="B3813" s="1" t="str">
        <f>"42644"</f>
        <v>42644</v>
      </c>
      <c r="C3813" s="1" t="str">
        <f>"GOLD BAR"</f>
        <v>GOLD BAR</v>
      </c>
      <c r="D3813" s="1" t="str">
        <f>"WA"</f>
        <v>WA</v>
      </c>
      <c r="E3813" s="2">
        <v>1</v>
      </c>
      <c r="F3813" s="2">
        <v>1</v>
      </c>
      <c r="G3813" s="2">
        <v>1</v>
      </c>
      <c r="H3813" s="2">
        <v>1</v>
      </c>
    </row>
    <row r="3814" spans="1:8" x14ac:dyDescent="0.25">
      <c r="A3814" s="1" t="str">
        <f>"19383"</f>
        <v>19383</v>
      </c>
      <c r="B3814" s="1" t="str">
        <f>"33874"</f>
        <v>33874</v>
      </c>
      <c r="C3814" s="1" t="str">
        <f>"WEST CHESTER"</f>
        <v>WEST CHESTER</v>
      </c>
      <c r="D3814" s="1" t="str">
        <f>"PA"</f>
        <v>PA</v>
      </c>
      <c r="E3814" s="2">
        <v>0</v>
      </c>
      <c r="F3814" s="2">
        <v>1</v>
      </c>
      <c r="G3814" s="2">
        <v>1</v>
      </c>
      <c r="H3814" s="2">
        <v>1</v>
      </c>
    </row>
    <row r="3815" spans="1:8" x14ac:dyDescent="0.25">
      <c r="A3815" s="1" t="str">
        <f>"19436"</f>
        <v>19436</v>
      </c>
      <c r="B3815" s="1" t="str">
        <f>"33874"</f>
        <v>33874</v>
      </c>
      <c r="C3815" s="1" t="str">
        <f>"GWYNEDD"</f>
        <v>GWYNEDD</v>
      </c>
      <c r="D3815" s="1" t="str">
        <f>"PA"</f>
        <v>PA</v>
      </c>
      <c r="E3815" s="2">
        <v>1</v>
      </c>
      <c r="F3815" s="2">
        <v>1</v>
      </c>
      <c r="G3815" s="2">
        <v>1</v>
      </c>
      <c r="H3815" s="2">
        <v>1</v>
      </c>
    </row>
    <row r="3816" spans="1:8" x14ac:dyDescent="0.25">
      <c r="A3816" s="1" t="str">
        <f>"22726"</f>
        <v>22726</v>
      </c>
      <c r="B3816" s="1" t="str">
        <f>"47894"</f>
        <v>47894</v>
      </c>
      <c r="C3816" s="1" t="str">
        <f>"LIGNUM"</f>
        <v>LIGNUM</v>
      </c>
      <c r="D3816" s="1" t="str">
        <f>"VA"</f>
        <v>VA</v>
      </c>
      <c r="E3816" s="2">
        <v>1</v>
      </c>
      <c r="F3816" s="2">
        <v>1</v>
      </c>
      <c r="G3816" s="2">
        <v>1</v>
      </c>
      <c r="H3816" s="2">
        <v>1</v>
      </c>
    </row>
    <row r="3817" spans="1:8" x14ac:dyDescent="0.25">
      <c r="A3817" s="1" t="str">
        <f>"33468"</f>
        <v>33468</v>
      </c>
      <c r="B3817" s="1" t="str">
        <f>"48424"</f>
        <v>48424</v>
      </c>
      <c r="C3817" s="1" t="str">
        <f>"JUPITER"</f>
        <v>JUPITER</v>
      </c>
      <c r="D3817" s="1" t="str">
        <f>"FL"</f>
        <v>FL</v>
      </c>
      <c r="E3817" s="2">
        <v>1</v>
      </c>
      <c r="F3817" s="2">
        <v>1</v>
      </c>
      <c r="G3817" s="2">
        <v>1</v>
      </c>
      <c r="H3817" s="2">
        <v>1</v>
      </c>
    </row>
    <row r="3818" spans="1:8" x14ac:dyDescent="0.25">
      <c r="A3818" s="1" t="str">
        <f>"75049"</f>
        <v>75049</v>
      </c>
      <c r="B3818" s="1" t="str">
        <f>"19124"</f>
        <v>19124</v>
      </c>
      <c r="C3818" s="1" t="str">
        <f>"GARLAND"</f>
        <v>GARLAND</v>
      </c>
      <c r="D3818" s="1" t="str">
        <f>"TX"</f>
        <v>TX</v>
      </c>
      <c r="E3818" s="2">
        <v>1</v>
      </c>
      <c r="F3818" s="2">
        <v>1</v>
      </c>
      <c r="G3818" s="2">
        <v>1</v>
      </c>
      <c r="H3818" s="2">
        <v>1</v>
      </c>
    </row>
    <row r="3819" spans="1:8" x14ac:dyDescent="0.25">
      <c r="A3819" s="1" t="str">
        <f>"75166"</f>
        <v>75166</v>
      </c>
      <c r="B3819" s="1" t="str">
        <f>"19124"</f>
        <v>19124</v>
      </c>
      <c r="C3819" s="1" t="str">
        <f>"LAVON"</f>
        <v>LAVON</v>
      </c>
      <c r="D3819" s="1" t="str">
        <f>"TX"</f>
        <v>TX</v>
      </c>
      <c r="E3819" s="2">
        <v>1</v>
      </c>
      <c r="F3819" s="2">
        <v>1</v>
      </c>
      <c r="G3819" s="2">
        <v>1</v>
      </c>
      <c r="H3819" s="2">
        <v>1</v>
      </c>
    </row>
    <row r="3820" spans="1:8" x14ac:dyDescent="0.25">
      <c r="A3820" s="1" t="str">
        <f>"76070"</f>
        <v>76070</v>
      </c>
      <c r="B3820" s="1" t="str">
        <f>"23104"</f>
        <v>23104</v>
      </c>
      <c r="C3820" s="1" t="str">
        <f>"NEMO"</f>
        <v>NEMO</v>
      </c>
      <c r="D3820" s="1" t="str">
        <f>"TX"</f>
        <v>TX</v>
      </c>
      <c r="E3820" s="2">
        <v>1</v>
      </c>
      <c r="F3820" s="2">
        <v>0</v>
      </c>
      <c r="G3820" s="2">
        <v>0</v>
      </c>
      <c r="H3820" s="2">
        <v>1</v>
      </c>
    </row>
    <row r="3821" spans="1:8" x14ac:dyDescent="0.25">
      <c r="A3821" s="1" t="str">
        <f>"91381"</f>
        <v>91381</v>
      </c>
      <c r="B3821" s="1" t="str">
        <f>"31084"</f>
        <v>31084</v>
      </c>
      <c r="C3821" s="1" t="str">
        <f>"STEVENSON RANCH"</f>
        <v>STEVENSON RANCH</v>
      </c>
      <c r="D3821" s="1" t="str">
        <f t="shared" ref="D3821:D3826" si="287">"CA"</f>
        <v>CA</v>
      </c>
      <c r="E3821" s="2">
        <v>1</v>
      </c>
      <c r="F3821" s="2">
        <v>1</v>
      </c>
      <c r="G3821" s="2">
        <v>1</v>
      </c>
      <c r="H3821" s="2">
        <v>1</v>
      </c>
    </row>
    <row r="3822" spans="1:8" x14ac:dyDescent="0.25">
      <c r="A3822" s="1" t="str">
        <f>"91608"</f>
        <v>91608</v>
      </c>
      <c r="B3822" s="1" t="str">
        <f>"31084"</f>
        <v>31084</v>
      </c>
      <c r="C3822" s="1" t="str">
        <f>"UNIVERSAL CITY"</f>
        <v>UNIVERSAL CITY</v>
      </c>
      <c r="D3822" s="1" t="str">
        <f t="shared" si="287"/>
        <v>CA</v>
      </c>
      <c r="E3822" s="2">
        <v>0</v>
      </c>
      <c r="F3822" s="2">
        <v>1</v>
      </c>
      <c r="G3822" s="2">
        <v>1</v>
      </c>
      <c r="H3822" s="2">
        <v>1</v>
      </c>
    </row>
    <row r="3823" spans="1:8" x14ac:dyDescent="0.25">
      <c r="A3823" s="1" t="str">
        <f>"90622"</f>
        <v>90622</v>
      </c>
      <c r="B3823" s="1" t="str">
        <f>"11244"</f>
        <v>11244</v>
      </c>
      <c r="C3823" s="1" t="str">
        <f>"BUENA PARK"</f>
        <v>BUENA PARK</v>
      </c>
      <c r="D3823" s="1" t="str">
        <f t="shared" si="287"/>
        <v>CA</v>
      </c>
      <c r="E3823" s="2">
        <v>1</v>
      </c>
      <c r="F3823" s="2">
        <v>1</v>
      </c>
      <c r="G3823" s="2">
        <v>1</v>
      </c>
      <c r="H3823" s="2">
        <v>1</v>
      </c>
    </row>
    <row r="3824" spans="1:8" x14ac:dyDescent="0.25">
      <c r="A3824" s="1" t="str">
        <f>"91392"</f>
        <v>91392</v>
      </c>
      <c r="B3824" s="1" t="str">
        <f>"31084"</f>
        <v>31084</v>
      </c>
      <c r="C3824" s="1" t="str">
        <f>"SYLMAR"</f>
        <v>SYLMAR</v>
      </c>
      <c r="D3824" s="1" t="str">
        <f t="shared" si="287"/>
        <v>CA</v>
      </c>
      <c r="E3824" s="2">
        <v>1</v>
      </c>
      <c r="F3824" s="2">
        <v>1</v>
      </c>
      <c r="G3824" s="2">
        <v>1</v>
      </c>
      <c r="H3824" s="2">
        <v>1</v>
      </c>
    </row>
    <row r="3825" spans="1:8" x14ac:dyDescent="0.25">
      <c r="A3825" s="1" t="str">
        <f>"92823"</f>
        <v>92823</v>
      </c>
      <c r="B3825" s="1" t="str">
        <f>"11244"</f>
        <v>11244</v>
      </c>
      <c r="C3825" s="1" t="str">
        <f>"BREA"</f>
        <v>BREA</v>
      </c>
      <c r="D3825" s="1" t="str">
        <f t="shared" si="287"/>
        <v>CA</v>
      </c>
      <c r="E3825" s="2">
        <v>1</v>
      </c>
      <c r="F3825" s="2">
        <v>1</v>
      </c>
      <c r="G3825" s="2">
        <v>1</v>
      </c>
      <c r="H3825" s="2">
        <v>1</v>
      </c>
    </row>
    <row r="3826" spans="1:8" x14ac:dyDescent="0.25">
      <c r="A3826" s="1" t="str">
        <f>"94946"</f>
        <v>94946</v>
      </c>
      <c r="B3826" s="1" t="str">
        <f>"42034"</f>
        <v>42034</v>
      </c>
      <c r="C3826" s="1" t="str">
        <f>"NICASIO"</f>
        <v>NICASIO</v>
      </c>
      <c r="D3826" s="1" t="str">
        <f t="shared" si="287"/>
        <v>CA</v>
      </c>
      <c r="E3826" s="2">
        <v>1</v>
      </c>
      <c r="F3826" s="2">
        <v>1</v>
      </c>
      <c r="G3826" s="2">
        <v>1</v>
      </c>
      <c r="H3826" s="2">
        <v>1</v>
      </c>
    </row>
    <row r="3827" spans="1:8" x14ac:dyDescent="0.25">
      <c r="A3827" s="1" t="str">
        <f>"98206"</f>
        <v>98206</v>
      </c>
      <c r="B3827" s="1" t="str">
        <f>"42644"</f>
        <v>42644</v>
      </c>
      <c r="C3827" s="1" t="str">
        <f>"EVERETT"</f>
        <v>EVERETT</v>
      </c>
      <c r="D3827" s="1" t="str">
        <f>"WA"</f>
        <v>WA</v>
      </c>
      <c r="E3827" s="2">
        <v>1</v>
      </c>
      <c r="F3827" s="2">
        <v>1</v>
      </c>
      <c r="G3827" s="2">
        <v>0</v>
      </c>
      <c r="H3827" s="2">
        <v>1</v>
      </c>
    </row>
    <row r="3828" spans="1:8" x14ac:dyDescent="0.25">
      <c r="A3828" s="1" t="str">
        <f>"08535"</f>
        <v>08535</v>
      </c>
      <c r="B3828" s="1" t="str">
        <f>"35154"</f>
        <v>35154</v>
      </c>
      <c r="C3828" s="1" t="str">
        <f>"MILLSTONE TOWNSHIP"</f>
        <v>MILLSTONE TOWNSHIP</v>
      </c>
      <c r="D3828" s="1" t="str">
        <f>"NJ"</f>
        <v>NJ</v>
      </c>
      <c r="E3828" s="2">
        <v>1</v>
      </c>
      <c r="F3828" s="2">
        <v>1</v>
      </c>
      <c r="G3828" s="2">
        <v>1</v>
      </c>
      <c r="H3828" s="2">
        <v>1</v>
      </c>
    </row>
    <row r="3829" spans="1:8" x14ac:dyDescent="0.25">
      <c r="A3829" s="1" t="str">
        <f>"20629"</f>
        <v>20629</v>
      </c>
      <c r="B3829" s="1" t="str">
        <f>"47894"</f>
        <v>47894</v>
      </c>
      <c r="C3829" s="1" t="str">
        <f>"DOWELL"</f>
        <v>DOWELL</v>
      </c>
      <c r="D3829" s="1" t="str">
        <f>"MD"</f>
        <v>MD</v>
      </c>
      <c r="E3829" s="2">
        <v>1</v>
      </c>
      <c r="F3829" s="2">
        <v>0</v>
      </c>
      <c r="G3829" s="2">
        <v>1</v>
      </c>
      <c r="H3829" s="2">
        <v>1</v>
      </c>
    </row>
    <row r="3830" spans="1:8" x14ac:dyDescent="0.25">
      <c r="A3830" s="1" t="str">
        <f>"33197"</f>
        <v>33197</v>
      </c>
      <c r="B3830" s="1" t="str">
        <f>"33124"</f>
        <v>33124</v>
      </c>
      <c r="C3830" s="1" t="str">
        <f>"MIAMI"</f>
        <v>MIAMI</v>
      </c>
      <c r="D3830" s="1" t="str">
        <f>"FL"</f>
        <v>FL</v>
      </c>
      <c r="E3830" s="2">
        <v>1</v>
      </c>
      <c r="F3830" s="2">
        <v>1</v>
      </c>
      <c r="G3830" s="2">
        <v>1</v>
      </c>
      <c r="H3830" s="2">
        <v>1</v>
      </c>
    </row>
    <row r="3831" spans="1:8" x14ac:dyDescent="0.25">
      <c r="A3831" s="1" t="str">
        <f>"93544"</f>
        <v>93544</v>
      </c>
      <c r="B3831" s="1" t="str">
        <f>"31084"</f>
        <v>31084</v>
      </c>
      <c r="C3831" s="1" t="str">
        <f>"LLANO"</f>
        <v>LLANO</v>
      </c>
      <c r="D3831" s="1" t="str">
        <f>"CA"</f>
        <v>CA</v>
      </c>
      <c r="E3831" s="2">
        <v>1</v>
      </c>
      <c r="F3831" s="2">
        <v>1</v>
      </c>
      <c r="G3831" s="2">
        <v>1</v>
      </c>
      <c r="H3831" s="2">
        <v>1</v>
      </c>
    </row>
    <row r="3832" spans="1:8" x14ac:dyDescent="0.25">
      <c r="A3832" s="1" t="str">
        <f>"91747"</f>
        <v>91747</v>
      </c>
      <c r="B3832" s="1" t="str">
        <f>"31084"</f>
        <v>31084</v>
      </c>
      <c r="C3832" s="1" t="str">
        <f>"LA PUENTE"</f>
        <v>LA PUENTE</v>
      </c>
      <c r="D3832" s="1" t="str">
        <f>"CA"</f>
        <v>CA</v>
      </c>
      <c r="E3832" s="2">
        <v>1</v>
      </c>
      <c r="F3832" s="2">
        <v>1</v>
      </c>
      <c r="G3832" s="2">
        <v>1</v>
      </c>
      <c r="H3832" s="2">
        <v>1</v>
      </c>
    </row>
    <row r="3833" spans="1:8" x14ac:dyDescent="0.25">
      <c r="A3833" s="1" t="str">
        <f>"08041"</f>
        <v>08041</v>
      </c>
      <c r="B3833" s="1" t="str">
        <f>"15804"</f>
        <v>15804</v>
      </c>
      <c r="C3833" s="1" t="str">
        <f>"JOBSTOWN"</f>
        <v>JOBSTOWN</v>
      </c>
      <c r="D3833" s="1" t="str">
        <f>"NJ"</f>
        <v>NJ</v>
      </c>
      <c r="E3833" s="2">
        <v>1</v>
      </c>
      <c r="F3833" s="2">
        <v>1</v>
      </c>
      <c r="G3833" s="2">
        <v>1</v>
      </c>
      <c r="H3833" s="2">
        <v>1</v>
      </c>
    </row>
    <row r="3834" spans="1:8" x14ac:dyDescent="0.25">
      <c r="A3834" s="1" t="str">
        <f>"11005"</f>
        <v>11005</v>
      </c>
      <c r="B3834" s="1" t="str">
        <f>"35004"</f>
        <v>35004</v>
      </c>
      <c r="C3834" s="1" t="str">
        <f>"FLORAL PARK"</f>
        <v>FLORAL PARK</v>
      </c>
      <c r="D3834" s="1" t="str">
        <f>"NY"</f>
        <v>NY</v>
      </c>
      <c r="E3834" s="2">
        <v>0.319127346524606</v>
      </c>
      <c r="F3834" s="2">
        <v>0.952380952380952</v>
      </c>
      <c r="G3834" s="2">
        <v>0.375</v>
      </c>
      <c r="H3834" s="2">
        <v>0.32619521912350502</v>
      </c>
    </row>
    <row r="3835" spans="1:8" x14ac:dyDescent="0.25">
      <c r="A3835" s="1" t="str">
        <f>"11005"</f>
        <v>11005</v>
      </c>
      <c r="B3835" s="1" t="str">
        <f>"35614"</f>
        <v>35614</v>
      </c>
      <c r="C3835" s="1" t="str">
        <f>"FLORAL PARK"</f>
        <v>FLORAL PARK</v>
      </c>
      <c r="D3835" s="1" t="str">
        <f>"NY"</f>
        <v>NY</v>
      </c>
      <c r="E3835" s="2">
        <v>0.68087265347539305</v>
      </c>
      <c r="F3835" s="2">
        <v>4.7619047619047603E-2</v>
      </c>
      <c r="G3835" s="2">
        <v>0.625</v>
      </c>
      <c r="H3835" s="2">
        <v>0.67380478087649398</v>
      </c>
    </row>
    <row r="3836" spans="1:8" x14ac:dyDescent="0.25">
      <c r="A3836" s="1" t="str">
        <f>"22655"</f>
        <v>22655</v>
      </c>
      <c r="B3836" s="1" t="str">
        <f>"47894"</f>
        <v>47894</v>
      </c>
      <c r="C3836" s="1" t="str">
        <f>"STEPHENS CITY"</f>
        <v>STEPHENS CITY</v>
      </c>
      <c r="D3836" s="1" t="str">
        <f>"VA"</f>
        <v>VA</v>
      </c>
      <c r="E3836" s="2">
        <v>1</v>
      </c>
      <c r="F3836" s="2">
        <v>1</v>
      </c>
      <c r="G3836" s="2">
        <v>0</v>
      </c>
      <c r="H3836" s="2">
        <v>1</v>
      </c>
    </row>
    <row r="3837" spans="1:8" x14ac:dyDescent="0.25">
      <c r="A3837" s="1" t="str">
        <f>"08888"</f>
        <v>08888</v>
      </c>
      <c r="B3837" s="1" t="str">
        <f>"35084"</f>
        <v>35084</v>
      </c>
      <c r="C3837" s="1" t="str">
        <f>"WHITEHOUSE"</f>
        <v>WHITEHOUSE</v>
      </c>
      <c r="D3837" s="1" t="str">
        <f>"NJ"</f>
        <v>NJ</v>
      </c>
      <c r="E3837" s="2">
        <v>1</v>
      </c>
      <c r="F3837" s="2">
        <v>1</v>
      </c>
      <c r="G3837" s="2">
        <v>1</v>
      </c>
      <c r="H3837" s="2">
        <v>1</v>
      </c>
    </row>
    <row r="3838" spans="1:8" x14ac:dyDescent="0.25">
      <c r="A3838" s="1" t="str">
        <f>"22639"</f>
        <v>22639</v>
      </c>
      <c r="B3838" s="1" t="str">
        <f>"47894"</f>
        <v>47894</v>
      </c>
      <c r="C3838" s="1" t="str">
        <f>"HUME"</f>
        <v>HUME</v>
      </c>
      <c r="D3838" s="1" t="str">
        <f>"VA"</f>
        <v>VA</v>
      </c>
      <c r="E3838" s="2">
        <v>1</v>
      </c>
      <c r="F3838" s="2">
        <v>1</v>
      </c>
      <c r="G3838" s="2">
        <v>1</v>
      </c>
      <c r="H3838" s="2">
        <v>1</v>
      </c>
    </row>
    <row r="3839" spans="1:8" x14ac:dyDescent="0.25">
      <c r="A3839" s="1" t="str">
        <f>"18953"</f>
        <v>18953</v>
      </c>
      <c r="B3839" s="1" t="str">
        <f>"33874"</f>
        <v>33874</v>
      </c>
      <c r="C3839" s="1" t="str">
        <f>"REVERE"</f>
        <v>REVERE</v>
      </c>
      <c r="D3839" s="1" t="str">
        <f>"PA"</f>
        <v>PA</v>
      </c>
      <c r="E3839" s="2">
        <v>1</v>
      </c>
      <c r="F3839" s="2">
        <v>0</v>
      </c>
      <c r="G3839" s="2">
        <v>1</v>
      </c>
      <c r="H3839" s="2">
        <v>1</v>
      </c>
    </row>
    <row r="3840" spans="1:8" x14ac:dyDescent="0.25">
      <c r="A3840" s="1" t="str">
        <f>"20570"</f>
        <v>20570</v>
      </c>
      <c r="B3840" s="1" t="str">
        <f>"47894"</f>
        <v>47894</v>
      </c>
      <c r="C3840" s="1" t="str">
        <f>"WASHINGTON"</f>
        <v>WASHINGTON</v>
      </c>
      <c r="D3840" s="1" t="str">
        <f>"DC"</f>
        <v>DC</v>
      </c>
      <c r="E3840" s="2">
        <v>0</v>
      </c>
      <c r="F3840" s="2">
        <v>1</v>
      </c>
      <c r="G3840" s="2">
        <v>0</v>
      </c>
      <c r="H3840" s="2">
        <v>1</v>
      </c>
    </row>
    <row r="3841" spans="1:8" x14ac:dyDescent="0.25">
      <c r="A3841" s="1" t="str">
        <f>"20593"</f>
        <v>20593</v>
      </c>
      <c r="B3841" s="1" t="str">
        <f>"47894"</f>
        <v>47894</v>
      </c>
      <c r="C3841" s="1" t="str">
        <f>"WASHINGTON"</f>
        <v>WASHINGTON</v>
      </c>
      <c r="D3841" s="1" t="str">
        <f>"DC"</f>
        <v>DC</v>
      </c>
      <c r="E3841" s="2">
        <v>0</v>
      </c>
      <c r="F3841" s="2">
        <v>1</v>
      </c>
      <c r="G3841" s="2">
        <v>1</v>
      </c>
      <c r="H3841" s="2">
        <v>1</v>
      </c>
    </row>
    <row r="3842" spans="1:8" x14ac:dyDescent="0.25">
      <c r="A3842" s="1" t="str">
        <f>"53177"</f>
        <v>53177</v>
      </c>
      <c r="B3842" s="1" t="str">
        <f>"29404"</f>
        <v>29404</v>
      </c>
      <c r="C3842" s="1" t="str">
        <f>"STURTEVANT"</f>
        <v>STURTEVANT</v>
      </c>
      <c r="D3842" s="1" t="str">
        <f>"WI"</f>
        <v>WI</v>
      </c>
      <c r="E3842" s="2">
        <v>1</v>
      </c>
      <c r="F3842" s="2">
        <v>1</v>
      </c>
      <c r="G3842" s="2">
        <v>1</v>
      </c>
      <c r="H3842" s="2">
        <v>1</v>
      </c>
    </row>
    <row r="3843" spans="1:8" x14ac:dyDescent="0.25">
      <c r="A3843" s="1" t="str">
        <f>"22158"</f>
        <v>22158</v>
      </c>
      <c r="B3843" s="1" t="str">
        <f>"47894"</f>
        <v>47894</v>
      </c>
      <c r="C3843" s="1" t="str">
        <f>"SPRINGFIELD"</f>
        <v>SPRINGFIELD</v>
      </c>
      <c r="D3843" s="1" t="str">
        <f>"VA"</f>
        <v>VA</v>
      </c>
      <c r="E3843" s="2">
        <v>0</v>
      </c>
      <c r="F3843" s="2">
        <v>1</v>
      </c>
      <c r="G3843" s="2">
        <v>0</v>
      </c>
      <c r="H3843" s="2">
        <v>1</v>
      </c>
    </row>
    <row r="3844" spans="1:8" x14ac:dyDescent="0.25">
      <c r="A3844" s="1" t="str">
        <f>"19443"</f>
        <v>19443</v>
      </c>
      <c r="B3844" s="1" t="str">
        <f>"33874"</f>
        <v>33874</v>
      </c>
      <c r="C3844" s="1" t="str">
        <f>"KULPSVILLE"</f>
        <v>KULPSVILLE</v>
      </c>
      <c r="D3844" s="1" t="str">
        <f>"PA"</f>
        <v>PA</v>
      </c>
      <c r="E3844" s="2">
        <v>1</v>
      </c>
      <c r="F3844" s="2">
        <v>1</v>
      </c>
      <c r="G3844" s="2">
        <v>1</v>
      </c>
      <c r="H3844" s="2">
        <v>1</v>
      </c>
    </row>
    <row r="3845" spans="1:8" x14ac:dyDescent="0.25">
      <c r="A3845" s="1" t="str">
        <f>"19481"</f>
        <v>19481</v>
      </c>
      <c r="B3845" s="1" t="str">
        <f>"33874"</f>
        <v>33874</v>
      </c>
      <c r="C3845" s="1" t="str">
        <f>"VALLEY FORGE"</f>
        <v>VALLEY FORGE</v>
      </c>
      <c r="D3845" s="1" t="str">
        <f>"PA"</f>
        <v>PA</v>
      </c>
      <c r="E3845" s="2">
        <v>1</v>
      </c>
      <c r="F3845" s="2">
        <v>1</v>
      </c>
      <c r="G3845" s="2">
        <v>1</v>
      </c>
      <c r="H3845" s="2">
        <v>1</v>
      </c>
    </row>
    <row r="3846" spans="1:8" x14ac:dyDescent="0.25">
      <c r="A3846" s="1" t="str">
        <f>"60694"</f>
        <v>60694</v>
      </c>
      <c r="B3846" s="1" t="str">
        <f>"16984"</f>
        <v>16984</v>
      </c>
      <c r="C3846" s="1" t="str">
        <f>"CHICAGO"</f>
        <v>CHICAGO</v>
      </c>
      <c r="D3846" s="1" t="str">
        <f>"IL"</f>
        <v>IL</v>
      </c>
      <c r="E3846" s="2">
        <v>1</v>
      </c>
      <c r="F3846" s="2">
        <v>0</v>
      </c>
      <c r="G3846" s="2">
        <v>1</v>
      </c>
      <c r="H3846" s="2">
        <v>1</v>
      </c>
    </row>
    <row r="3847" spans="1:8" x14ac:dyDescent="0.25">
      <c r="A3847" s="1" t="str">
        <f>"21718"</f>
        <v>21718</v>
      </c>
      <c r="B3847" s="1" t="str">
        <f>"23224"</f>
        <v>23224</v>
      </c>
      <c r="C3847" s="1" t="str">
        <f>"BURKITTSVILLE"</f>
        <v>BURKITTSVILLE</v>
      </c>
      <c r="D3847" s="1" t="str">
        <f>"MD"</f>
        <v>MD</v>
      </c>
      <c r="E3847" s="2">
        <v>1</v>
      </c>
      <c r="F3847" s="2">
        <v>1</v>
      </c>
      <c r="G3847" s="2">
        <v>0</v>
      </c>
      <c r="H3847" s="2">
        <v>1</v>
      </c>
    </row>
    <row r="3848" spans="1:8" x14ac:dyDescent="0.25">
      <c r="A3848" s="1" t="str">
        <f>"98259"</f>
        <v>98259</v>
      </c>
      <c r="B3848" s="1" t="str">
        <f>"42644"</f>
        <v>42644</v>
      </c>
      <c r="C3848" s="1" t="str">
        <f>"NORTH LAKEWOOD"</f>
        <v>NORTH LAKEWOOD</v>
      </c>
      <c r="D3848" s="1" t="str">
        <f>"WA"</f>
        <v>WA</v>
      </c>
      <c r="E3848" s="2">
        <v>1</v>
      </c>
      <c r="F3848" s="2">
        <v>1</v>
      </c>
      <c r="G3848" s="2">
        <v>1</v>
      </c>
      <c r="H3848" s="2">
        <v>1</v>
      </c>
    </row>
    <row r="3849" spans="1:8" x14ac:dyDescent="0.25">
      <c r="A3849" s="1" t="str">
        <f>"11022"</f>
        <v>11022</v>
      </c>
      <c r="B3849" s="1" t="str">
        <f>"35004"</f>
        <v>35004</v>
      </c>
      <c r="C3849" s="1" t="str">
        <f>"GREAT NECK"</f>
        <v>GREAT NECK</v>
      </c>
      <c r="D3849" s="1" t="str">
        <f>"NY"</f>
        <v>NY</v>
      </c>
      <c r="E3849" s="2">
        <v>1</v>
      </c>
      <c r="F3849" s="2">
        <v>1</v>
      </c>
      <c r="G3849" s="2">
        <v>1</v>
      </c>
      <c r="H3849" s="2">
        <v>1</v>
      </c>
    </row>
    <row r="3850" spans="1:8" x14ac:dyDescent="0.25">
      <c r="A3850" s="1" t="str">
        <f>"98185"</f>
        <v>98185</v>
      </c>
      <c r="B3850" s="1" t="str">
        <f>"42644"</f>
        <v>42644</v>
      </c>
      <c r="C3850" s="1" t="str">
        <f>"SEATTLE"</f>
        <v>SEATTLE</v>
      </c>
      <c r="D3850" s="1" t="str">
        <f>"WA"</f>
        <v>WA</v>
      </c>
      <c r="E3850" s="2">
        <v>0</v>
      </c>
      <c r="F3850" s="2">
        <v>1</v>
      </c>
      <c r="G3850" s="2">
        <v>1</v>
      </c>
      <c r="H3850" s="2">
        <v>1</v>
      </c>
    </row>
    <row r="3851" spans="1:8" x14ac:dyDescent="0.25">
      <c r="A3851" s="1" t="str">
        <f>"20591"</f>
        <v>20591</v>
      </c>
      <c r="B3851" s="1" t="str">
        <f>"47894"</f>
        <v>47894</v>
      </c>
      <c r="C3851" s="1" t="str">
        <f>"WASHINGTON"</f>
        <v>WASHINGTON</v>
      </c>
      <c r="D3851" s="1" t="str">
        <f>"DC"</f>
        <v>DC</v>
      </c>
      <c r="E3851" s="2">
        <v>0</v>
      </c>
      <c r="F3851" s="2">
        <v>1</v>
      </c>
      <c r="G3851" s="2">
        <v>0</v>
      </c>
      <c r="H3851" s="2">
        <v>1</v>
      </c>
    </row>
    <row r="3852" spans="1:8" x14ac:dyDescent="0.25">
      <c r="A3852" s="1" t="str">
        <f>"10211"</f>
        <v>10211</v>
      </c>
      <c r="B3852" s="1" t="str">
        <f>"35614"</f>
        <v>35614</v>
      </c>
      <c r="C3852" s="1" t="str">
        <f>"NEW YORK"</f>
        <v>NEW YORK</v>
      </c>
      <c r="D3852" s="1" t="str">
        <f>"NY"</f>
        <v>NY</v>
      </c>
      <c r="E3852" s="2">
        <v>0</v>
      </c>
      <c r="F3852" s="2">
        <v>0</v>
      </c>
      <c r="G3852" s="2">
        <v>1</v>
      </c>
      <c r="H3852" s="2">
        <v>1</v>
      </c>
    </row>
    <row r="3853" spans="1:8" x14ac:dyDescent="0.25">
      <c r="A3853" s="1" t="str">
        <f>"60688"</f>
        <v>60688</v>
      </c>
      <c r="B3853" s="1" t="str">
        <f>"16984"</f>
        <v>16984</v>
      </c>
      <c r="C3853" s="1" t="str">
        <f>"CHICAGO"</f>
        <v>CHICAGO</v>
      </c>
      <c r="D3853" s="1" t="str">
        <f>"IL"</f>
        <v>IL</v>
      </c>
      <c r="E3853" s="2">
        <v>0</v>
      </c>
      <c r="F3853" s="2">
        <v>1</v>
      </c>
      <c r="G3853" s="2">
        <v>1</v>
      </c>
      <c r="H3853" s="2">
        <v>1</v>
      </c>
    </row>
    <row r="3854" spans="1:8" x14ac:dyDescent="0.25">
      <c r="A3854" s="1" t="str">
        <f>"20418"</f>
        <v>20418</v>
      </c>
      <c r="B3854" s="1" t="str">
        <f>"47894"</f>
        <v>47894</v>
      </c>
      <c r="C3854" s="1" t="str">
        <f>"WASHINGTON"</f>
        <v>WASHINGTON</v>
      </c>
      <c r="D3854" s="1" t="str">
        <f>"DC"</f>
        <v>DC</v>
      </c>
      <c r="E3854" s="2">
        <v>0</v>
      </c>
      <c r="F3854" s="2">
        <v>1</v>
      </c>
      <c r="G3854" s="2">
        <v>0</v>
      </c>
      <c r="H3854" s="2">
        <v>1</v>
      </c>
    </row>
    <row r="3855" spans="1:8" x14ac:dyDescent="0.25">
      <c r="A3855" s="1" t="str">
        <f>"10164"</f>
        <v>10164</v>
      </c>
      <c r="B3855" s="1" t="str">
        <f>"35614"</f>
        <v>35614</v>
      </c>
      <c r="C3855" s="1" t="str">
        <f>"NEW YORK"</f>
        <v>NEW YORK</v>
      </c>
      <c r="D3855" s="1" t="str">
        <f>"NY"</f>
        <v>NY</v>
      </c>
      <c r="E3855" s="2">
        <v>0</v>
      </c>
      <c r="F3855" s="2">
        <v>0</v>
      </c>
      <c r="G3855" s="2">
        <v>1</v>
      </c>
      <c r="H3855" s="2">
        <v>1</v>
      </c>
    </row>
    <row r="3856" spans="1:8" x14ac:dyDescent="0.25">
      <c r="A3856" s="1" t="str">
        <f>"20207"</f>
        <v>20207</v>
      </c>
      <c r="B3856" s="1" t="str">
        <f>"23224"</f>
        <v>23224</v>
      </c>
      <c r="C3856" s="1" t="str">
        <f>"WASHINGTON"</f>
        <v>WASHINGTON</v>
      </c>
      <c r="D3856" s="1" t="str">
        <f>"DC"</f>
        <v>DC</v>
      </c>
      <c r="E3856" s="2">
        <v>0</v>
      </c>
      <c r="F3856" s="2">
        <v>1</v>
      </c>
      <c r="G3856" s="2">
        <v>0</v>
      </c>
      <c r="H3856" s="2">
        <v>1</v>
      </c>
    </row>
    <row r="3857" spans="1:8" x14ac:dyDescent="0.25">
      <c r="A3857" s="1" t="str">
        <f>"48288"</f>
        <v>48288</v>
      </c>
      <c r="B3857" s="1" t="str">
        <f>"19804"</f>
        <v>19804</v>
      </c>
      <c r="C3857" s="1" t="str">
        <f>"DETROIT"</f>
        <v>DETROIT</v>
      </c>
      <c r="D3857" s="1" t="str">
        <f>"MI"</f>
        <v>MI</v>
      </c>
      <c r="E3857" s="2">
        <v>0</v>
      </c>
      <c r="F3857" s="2">
        <v>1</v>
      </c>
      <c r="G3857" s="2">
        <v>0</v>
      </c>
      <c r="H3857" s="2">
        <v>1</v>
      </c>
    </row>
    <row r="3858" spans="1:8" x14ac:dyDescent="0.25">
      <c r="A3858" s="1" t="str">
        <f>"91383"</f>
        <v>91383</v>
      </c>
      <c r="B3858" s="1" t="str">
        <f>"31084"</f>
        <v>31084</v>
      </c>
      <c r="C3858" s="1" t="str">
        <f>"SANTA CLARITA"</f>
        <v>SANTA CLARITA</v>
      </c>
      <c r="D3858" s="1" t="str">
        <f>"CA"</f>
        <v>CA</v>
      </c>
      <c r="E3858" s="2">
        <v>0</v>
      </c>
      <c r="F3858" s="2">
        <v>0</v>
      </c>
      <c r="G3858" s="2">
        <v>1</v>
      </c>
      <c r="H3858" s="2">
        <v>1</v>
      </c>
    </row>
    <row r="3859" spans="1:8" x14ac:dyDescent="0.25">
      <c r="A3859" s="1" t="str">
        <f>"22185"</f>
        <v>22185</v>
      </c>
      <c r="B3859" s="1" t="str">
        <f>"47894"</f>
        <v>47894</v>
      </c>
      <c r="C3859" s="1" t="str">
        <f>"VIENNA"</f>
        <v>VIENNA</v>
      </c>
      <c r="D3859" s="1" t="str">
        <f>"VA"</f>
        <v>VA</v>
      </c>
      <c r="E3859" s="2">
        <v>0</v>
      </c>
      <c r="F3859" s="2">
        <v>1</v>
      </c>
      <c r="G3859" s="2">
        <v>0</v>
      </c>
      <c r="H3859" s="2">
        <v>1</v>
      </c>
    </row>
    <row r="3860" spans="1:8" x14ac:dyDescent="0.25">
      <c r="A3860" s="1" t="str">
        <f>"91129"</f>
        <v>91129</v>
      </c>
      <c r="B3860" s="1" t="str">
        <f>"31084"</f>
        <v>31084</v>
      </c>
      <c r="C3860" s="1" t="str">
        <f>"PASADENA"</f>
        <v>PASADENA</v>
      </c>
      <c r="D3860" s="1" t="str">
        <f>"CA"</f>
        <v>CA</v>
      </c>
      <c r="E3860" s="2">
        <v>0</v>
      </c>
      <c r="F3860" s="2">
        <v>0</v>
      </c>
      <c r="G3860" s="2">
        <v>1</v>
      </c>
      <c r="H3860" s="2">
        <v>1</v>
      </c>
    </row>
    <row r="3861" spans="1:8" x14ac:dyDescent="0.25">
      <c r="A3861" s="1" t="str">
        <f>"20228"</f>
        <v>20228</v>
      </c>
      <c r="B3861" s="1" t="str">
        <f>"47894"</f>
        <v>47894</v>
      </c>
      <c r="C3861" s="1" t="str">
        <f>"WASHINGTON"</f>
        <v>WASHINGTON</v>
      </c>
      <c r="D3861" s="1" t="str">
        <f>"DC"</f>
        <v>DC</v>
      </c>
      <c r="E3861" s="2">
        <v>0</v>
      </c>
      <c r="F3861" s="2">
        <v>1</v>
      </c>
      <c r="G3861" s="2">
        <v>0</v>
      </c>
      <c r="H3861" s="2">
        <v>1</v>
      </c>
    </row>
    <row r="3862" spans="1:8" x14ac:dyDescent="0.25">
      <c r="A3862" s="1" t="str">
        <f>"08038"</f>
        <v>08038</v>
      </c>
      <c r="B3862" s="1" t="str">
        <f>"48864"</f>
        <v>48864</v>
      </c>
      <c r="C3862" s="1" t="str">
        <f>"HANCOCKS BRIDGE"</f>
        <v>HANCOCKS BRIDGE</v>
      </c>
      <c r="D3862" s="1" t="str">
        <f>"NJ"</f>
        <v>NJ</v>
      </c>
      <c r="E3862" s="2">
        <v>1</v>
      </c>
      <c r="F3862" s="2">
        <v>0</v>
      </c>
      <c r="G3862" s="2">
        <v>1</v>
      </c>
      <c r="H3862" s="2">
        <v>1</v>
      </c>
    </row>
    <row r="3863" spans="1:8" x14ac:dyDescent="0.25">
      <c r="A3863" s="1" t="str">
        <f>"03041"</f>
        <v>03041</v>
      </c>
      <c r="B3863" s="1" t="str">
        <f>"40484"</f>
        <v>40484</v>
      </c>
      <c r="C3863" s="1" t="str">
        <f>"EAST DERRY"</f>
        <v>EAST DERRY</v>
      </c>
      <c r="D3863" s="1" t="str">
        <f>"NH"</f>
        <v>NH</v>
      </c>
      <c r="E3863" s="2">
        <v>0</v>
      </c>
      <c r="F3863" s="2">
        <v>0</v>
      </c>
      <c r="G3863" s="2">
        <v>1</v>
      </c>
      <c r="H3863" s="2">
        <v>1</v>
      </c>
    </row>
    <row r="3864" spans="1:8" x14ac:dyDescent="0.25">
      <c r="A3864" s="1" t="str">
        <f>"91126"</f>
        <v>91126</v>
      </c>
      <c r="B3864" s="1" t="str">
        <f>"31084"</f>
        <v>31084</v>
      </c>
      <c r="C3864" s="1" t="str">
        <f>"PASADENA"</f>
        <v>PASADENA</v>
      </c>
      <c r="D3864" s="1" t="str">
        <f>"CA"</f>
        <v>CA</v>
      </c>
      <c r="E3864" s="2">
        <v>0</v>
      </c>
      <c r="F3864" s="2">
        <v>1</v>
      </c>
      <c r="G3864" s="2">
        <v>0</v>
      </c>
      <c r="H3864" s="2">
        <v>1</v>
      </c>
    </row>
    <row r="3865" spans="1:8" x14ac:dyDescent="0.25">
      <c r="A3865" s="1" t="str">
        <f>"98348"</f>
        <v>98348</v>
      </c>
      <c r="B3865" s="1" t="str">
        <f>"45104"</f>
        <v>45104</v>
      </c>
      <c r="C3865" s="1" t="str">
        <f>"LA GRANDE"</f>
        <v>LA GRANDE</v>
      </c>
      <c r="D3865" s="1" t="str">
        <f>"WA"</f>
        <v>WA</v>
      </c>
      <c r="E3865" s="2">
        <v>0</v>
      </c>
      <c r="F3865" s="2">
        <v>1</v>
      </c>
      <c r="G3865" s="2">
        <v>0</v>
      </c>
      <c r="H3865" s="2">
        <v>1</v>
      </c>
    </row>
    <row r="3866" spans="1:8" x14ac:dyDescent="0.25">
      <c r="A3866" s="1" t="str">
        <f>"07765"</f>
        <v>07765</v>
      </c>
      <c r="B3866" s="1" t="str">
        <f>"35154"</f>
        <v>35154</v>
      </c>
      <c r="C3866" s="1" t="str">
        <f>"WICKATUNK"</f>
        <v>WICKATUNK</v>
      </c>
      <c r="D3866" s="1" t="str">
        <f>"NJ"</f>
        <v>NJ</v>
      </c>
      <c r="E3866" s="2">
        <v>0</v>
      </c>
      <c r="F3866" s="2">
        <v>0</v>
      </c>
      <c r="G3866" s="2">
        <v>1</v>
      </c>
      <c r="H3866" s="2">
        <v>1</v>
      </c>
    </row>
    <row r="3867" spans="1:8" x14ac:dyDescent="0.25">
      <c r="A3867" s="1" t="str">
        <f>"01833"</f>
        <v>01833</v>
      </c>
      <c r="B3867" s="1" t="str">
        <f>"15764"</f>
        <v>15764</v>
      </c>
      <c r="C3867" s="1" t="str">
        <f>"GEORGETOWN"</f>
        <v>GEORGETOWN</v>
      </c>
      <c r="D3867" s="1" t="str">
        <f t="shared" ref="D3867:D3877" si="288">"MA"</f>
        <v>MA</v>
      </c>
      <c r="E3867" s="2">
        <v>1</v>
      </c>
      <c r="F3867" s="2">
        <v>1</v>
      </c>
      <c r="G3867" s="2">
        <v>1</v>
      </c>
      <c r="H3867" s="2">
        <v>1</v>
      </c>
    </row>
    <row r="3868" spans="1:8" x14ac:dyDescent="0.25">
      <c r="A3868" s="1" t="str">
        <f>"01851"</f>
        <v>01851</v>
      </c>
      <c r="B3868" s="1" t="str">
        <f>"15764"</f>
        <v>15764</v>
      </c>
      <c r="C3868" s="1" t="str">
        <f>"LOWELL"</f>
        <v>LOWELL</v>
      </c>
      <c r="D3868" s="1" t="str">
        <f t="shared" si="288"/>
        <v>MA</v>
      </c>
      <c r="E3868" s="2">
        <v>1</v>
      </c>
      <c r="F3868" s="2">
        <v>1</v>
      </c>
      <c r="G3868" s="2">
        <v>1</v>
      </c>
      <c r="H3868" s="2">
        <v>1</v>
      </c>
    </row>
    <row r="3869" spans="1:8" x14ac:dyDescent="0.25">
      <c r="A3869" s="1" t="str">
        <f>"01864"</f>
        <v>01864</v>
      </c>
      <c r="B3869" s="1" t="str">
        <f>"15764"</f>
        <v>15764</v>
      </c>
      <c r="C3869" s="1" t="str">
        <f>"NORTH READING"</f>
        <v>NORTH READING</v>
      </c>
      <c r="D3869" s="1" t="str">
        <f t="shared" si="288"/>
        <v>MA</v>
      </c>
      <c r="E3869" s="2">
        <v>1</v>
      </c>
      <c r="F3869" s="2">
        <v>1</v>
      </c>
      <c r="G3869" s="2">
        <v>1</v>
      </c>
      <c r="H3869" s="2">
        <v>1</v>
      </c>
    </row>
    <row r="3870" spans="1:8" x14ac:dyDescent="0.25">
      <c r="A3870" s="1" t="str">
        <f>"01876"</f>
        <v>01876</v>
      </c>
      <c r="B3870" s="1" t="str">
        <f>"15764"</f>
        <v>15764</v>
      </c>
      <c r="C3870" s="1" t="str">
        <f>"TEWKSBURY"</f>
        <v>TEWKSBURY</v>
      </c>
      <c r="D3870" s="1" t="str">
        <f t="shared" si="288"/>
        <v>MA</v>
      </c>
      <c r="E3870" s="2">
        <v>1</v>
      </c>
      <c r="F3870" s="2">
        <v>1</v>
      </c>
      <c r="G3870" s="2">
        <v>1</v>
      </c>
      <c r="H3870" s="2">
        <v>1</v>
      </c>
    </row>
    <row r="3871" spans="1:8" x14ac:dyDescent="0.25">
      <c r="A3871" s="1" t="str">
        <f>"01901"</f>
        <v>01901</v>
      </c>
      <c r="B3871" s="1" t="str">
        <f>"15764"</f>
        <v>15764</v>
      </c>
      <c r="C3871" s="1" t="str">
        <f>"LYNN"</f>
        <v>LYNN</v>
      </c>
      <c r="D3871" s="1" t="str">
        <f t="shared" si="288"/>
        <v>MA</v>
      </c>
      <c r="E3871" s="2">
        <v>1</v>
      </c>
      <c r="F3871" s="2">
        <v>1</v>
      </c>
      <c r="G3871" s="2">
        <v>1</v>
      </c>
      <c r="H3871" s="2">
        <v>1</v>
      </c>
    </row>
    <row r="3872" spans="1:8" x14ac:dyDescent="0.25">
      <c r="A3872" s="1" t="str">
        <f>"02056"</f>
        <v>02056</v>
      </c>
      <c r="B3872" s="1" t="str">
        <f>"14454"</f>
        <v>14454</v>
      </c>
      <c r="C3872" s="1" t="str">
        <f>"NORFOLK"</f>
        <v>NORFOLK</v>
      </c>
      <c r="D3872" s="1" t="str">
        <f t="shared" si="288"/>
        <v>MA</v>
      </c>
      <c r="E3872" s="2">
        <v>1</v>
      </c>
      <c r="F3872" s="2">
        <v>1</v>
      </c>
      <c r="G3872" s="2">
        <v>1</v>
      </c>
      <c r="H3872" s="2">
        <v>1</v>
      </c>
    </row>
    <row r="3873" spans="1:8" x14ac:dyDescent="0.25">
      <c r="A3873" s="1" t="str">
        <f>"02127"</f>
        <v>02127</v>
      </c>
      <c r="B3873" s="1" t="str">
        <f>"14454"</f>
        <v>14454</v>
      </c>
      <c r="C3873" s="1" t="str">
        <f>"SOUTH BOSTON"</f>
        <v>SOUTH BOSTON</v>
      </c>
      <c r="D3873" s="1" t="str">
        <f t="shared" si="288"/>
        <v>MA</v>
      </c>
      <c r="E3873" s="2">
        <v>1</v>
      </c>
      <c r="F3873" s="2">
        <v>1</v>
      </c>
      <c r="G3873" s="2">
        <v>1</v>
      </c>
      <c r="H3873" s="2">
        <v>1</v>
      </c>
    </row>
    <row r="3874" spans="1:8" x14ac:dyDescent="0.25">
      <c r="A3874" s="1" t="str">
        <f>"02189"</f>
        <v>02189</v>
      </c>
      <c r="B3874" s="1" t="str">
        <f>"14454"</f>
        <v>14454</v>
      </c>
      <c r="C3874" s="1" t="str">
        <f>"EAST WEYMOUTH"</f>
        <v>EAST WEYMOUTH</v>
      </c>
      <c r="D3874" s="1" t="str">
        <f t="shared" si="288"/>
        <v>MA</v>
      </c>
      <c r="E3874" s="2">
        <v>1</v>
      </c>
      <c r="F3874" s="2">
        <v>1</v>
      </c>
      <c r="G3874" s="2">
        <v>1</v>
      </c>
      <c r="H3874" s="2">
        <v>1</v>
      </c>
    </row>
    <row r="3875" spans="1:8" x14ac:dyDescent="0.25">
      <c r="A3875" s="1" t="str">
        <f>"02420"</f>
        <v>02420</v>
      </c>
      <c r="B3875" s="1" t="str">
        <f>"15764"</f>
        <v>15764</v>
      </c>
      <c r="C3875" s="1" t="str">
        <f>"LEXINGTON"</f>
        <v>LEXINGTON</v>
      </c>
      <c r="D3875" s="1" t="str">
        <f t="shared" si="288"/>
        <v>MA</v>
      </c>
      <c r="E3875" s="2">
        <v>1</v>
      </c>
      <c r="F3875" s="2">
        <v>1</v>
      </c>
      <c r="G3875" s="2">
        <v>1</v>
      </c>
      <c r="H3875" s="2">
        <v>1</v>
      </c>
    </row>
    <row r="3876" spans="1:8" x14ac:dyDescent="0.25">
      <c r="A3876" s="1" t="str">
        <f>"02538"</f>
        <v>02538</v>
      </c>
      <c r="B3876" s="1" t="str">
        <f>"14454"</f>
        <v>14454</v>
      </c>
      <c r="C3876" s="1" t="str">
        <f>"EAST WAREHAM"</f>
        <v>EAST WAREHAM</v>
      </c>
      <c r="D3876" s="1" t="str">
        <f t="shared" si="288"/>
        <v>MA</v>
      </c>
      <c r="E3876" s="2">
        <v>1</v>
      </c>
      <c r="F3876" s="2">
        <v>1</v>
      </c>
      <c r="G3876" s="2">
        <v>1</v>
      </c>
      <c r="H3876" s="2">
        <v>1</v>
      </c>
    </row>
    <row r="3877" spans="1:8" x14ac:dyDescent="0.25">
      <c r="A3877" s="1" t="str">
        <f>"02571"</f>
        <v>02571</v>
      </c>
      <c r="B3877" s="1" t="str">
        <f>"14454"</f>
        <v>14454</v>
      </c>
      <c r="C3877" s="1" t="str">
        <f>"WAREHAM"</f>
        <v>WAREHAM</v>
      </c>
      <c r="D3877" s="1" t="str">
        <f t="shared" si="288"/>
        <v>MA</v>
      </c>
      <c r="E3877" s="2">
        <v>1</v>
      </c>
      <c r="F3877" s="2">
        <v>1</v>
      </c>
      <c r="G3877" s="2">
        <v>1</v>
      </c>
      <c r="H3877" s="2">
        <v>1</v>
      </c>
    </row>
    <row r="3878" spans="1:8" x14ac:dyDescent="0.25">
      <c r="A3878" s="1" t="str">
        <f>"07030"</f>
        <v>07030</v>
      </c>
      <c r="B3878" s="1" t="str">
        <f>"35614"</f>
        <v>35614</v>
      </c>
      <c r="C3878" s="1" t="str">
        <f>"HOBOKEN"</f>
        <v>HOBOKEN</v>
      </c>
      <c r="D3878" s="1" t="str">
        <f t="shared" ref="D3878:D3889" si="289">"NJ"</f>
        <v>NJ</v>
      </c>
      <c r="E3878" s="2">
        <v>1</v>
      </c>
      <c r="F3878" s="2">
        <v>1</v>
      </c>
      <c r="G3878" s="2">
        <v>1</v>
      </c>
      <c r="H3878" s="2">
        <v>1</v>
      </c>
    </row>
    <row r="3879" spans="1:8" x14ac:dyDescent="0.25">
      <c r="A3879" s="1" t="str">
        <f>"07082"</f>
        <v>07082</v>
      </c>
      <c r="B3879" s="1" t="str">
        <f>"35084"</f>
        <v>35084</v>
      </c>
      <c r="C3879" s="1" t="str">
        <f>"TOWACO"</f>
        <v>TOWACO</v>
      </c>
      <c r="D3879" s="1" t="str">
        <f t="shared" si="289"/>
        <v>NJ</v>
      </c>
      <c r="E3879" s="2">
        <v>1</v>
      </c>
      <c r="F3879" s="2">
        <v>1</v>
      </c>
      <c r="G3879" s="2">
        <v>1</v>
      </c>
      <c r="H3879" s="2">
        <v>1</v>
      </c>
    </row>
    <row r="3880" spans="1:8" x14ac:dyDescent="0.25">
      <c r="A3880" s="1" t="str">
        <f>"07102"</f>
        <v>07102</v>
      </c>
      <c r="B3880" s="1" t="str">
        <f>"35084"</f>
        <v>35084</v>
      </c>
      <c r="C3880" s="1" t="str">
        <f>"NEWARK"</f>
        <v>NEWARK</v>
      </c>
      <c r="D3880" s="1" t="str">
        <f t="shared" si="289"/>
        <v>NJ</v>
      </c>
      <c r="E3880" s="2">
        <v>1</v>
      </c>
      <c r="F3880" s="2">
        <v>1</v>
      </c>
      <c r="G3880" s="2">
        <v>1</v>
      </c>
      <c r="H3880" s="2">
        <v>1</v>
      </c>
    </row>
    <row r="3881" spans="1:8" x14ac:dyDescent="0.25">
      <c r="A3881" s="1" t="str">
        <f>"07302"</f>
        <v>07302</v>
      </c>
      <c r="B3881" s="1" t="str">
        <f>"35614"</f>
        <v>35614</v>
      </c>
      <c r="C3881" s="1" t="str">
        <f>"JERSEY CITY"</f>
        <v>JERSEY CITY</v>
      </c>
      <c r="D3881" s="1" t="str">
        <f t="shared" si="289"/>
        <v>NJ</v>
      </c>
      <c r="E3881" s="2">
        <v>1</v>
      </c>
      <c r="F3881" s="2">
        <v>1</v>
      </c>
      <c r="G3881" s="2">
        <v>1</v>
      </c>
      <c r="H3881" s="2">
        <v>1</v>
      </c>
    </row>
    <row r="3882" spans="1:8" x14ac:dyDescent="0.25">
      <c r="A3882" s="1" t="str">
        <f>"07440"</f>
        <v>07440</v>
      </c>
      <c r="B3882" s="1" t="str">
        <f>"35084"</f>
        <v>35084</v>
      </c>
      <c r="C3882" s="1" t="str">
        <f>"PEQUANNOCK"</f>
        <v>PEQUANNOCK</v>
      </c>
      <c r="D3882" s="1" t="str">
        <f t="shared" si="289"/>
        <v>NJ</v>
      </c>
      <c r="E3882" s="2">
        <v>1</v>
      </c>
      <c r="F3882" s="2">
        <v>1</v>
      </c>
      <c r="G3882" s="2">
        <v>1</v>
      </c>
      <c r="H3882" s="2">
        <v>1</v>
      </c>
    </row>
    <row r="3883" spans="1:8" x14ac:dyDescent="0.25">
      <c r="A3883" s="1" t="str">
        <f>"07657"</f>
        <v>07657</v>
      </c>
      <c r="B3883" s="1" t="str">
        <f>"35614"</f>
        <v>35614</v>
      </c>
      <c r="C3883" s="1" t="str">
        <f>"RIDGEFIELD"</f>
        <v>RIDGEFIELD</v>
      </c>
      <c r="D3883" s="1" t="str">
        <f t="shared" si="289"/>
        <v>NJ</v>
      </c>
      <c r="E3883" s="2">
        <v>1</v>
      </c>
      <c r="F3883" s="2">
        <v>1</v>
      </c>
      <c r="G3883" s="2">
        <v>1</v>
      </c>
      <c r="H3883" s="2">
        <v>1</v>
      </c>
    </row>
    <row r="3884" spans="1:8" x14ac:dyDescent="0.25">
      <c r="A3884" s="1" t="str">
        <f>"07606"</f>
        <v>07606</v>
      </c>
      <c r="B3884" s="1" t="str">
        <f>"35614"</f>
        <v>35614</v>
      </c>
      <c r="C3884" s="1" t="str">
        <f>"SOUTH HACKENSACK"</f>
        <v>SOUTH HACKENSACK</v>
      </c>
      <c r="D3884" s="1" t="str">
        <f t="shared" si="289"/>
        <v>NJ</v>
      </c>
      <c r="E3884" s="2">
        <v>1</v>
      </c>
      <c r="F3884" s="2">
        <v>1</v>
      </c>
      <c r="G3884" s="2">
        <v>1</v>
      </c>
      <c r="H3884" s="2">
        <v>1</v>
      </c>
    </row>
    <row r="3885" spans="1:8" x14ac:dyDescent="0.25">
      <c r="A3885" s="1" t="str">
        <f>"08028"</f>
        <v>08028</v>
      </c>
      <c r="B3885" s="1" t="str">
        <f>"15804"</f>
        <v>15804</v>
      </c>
      <c r="C3885" s="1" t="str">
        <f>"GLASSBORO"</f>
        <v>GLASSBORO</v>
      </c>
      <c r="D3885" s="1" t="str">
        <f t="shared" si="289"/>
        <v>NJ</v>
      </c>
      <c r="E3885" s="2">
        <v>1</v>
      </c>
      <c r="F3885" s="2">
        <v>1</v>
      </c>
      <c r="G3885" s="2">
        <v>1</v>
      </c>
      <c r="H3885" s="2">
        <v>1</v>
      </c>
    </row>
    <row r="3886" spans="1:8" x14ac:dyDescent="0.25">
      <c r="A3886" s="1" t="str">
        <f>"08096"</f>
        <v>08096</v>
      </c>
      <c r="B3886" s="1" t="str">
        <f>"15804"</f>
        <v>15804</v>
      </c>
      <c r="C3886" s="1" t="str">
        <f>"WOODBURY"</f>
        <v>WOODBURY</v>
      </c>
      <c r="D3886" s="1" t="str">
        <f t="shared" si="289"/>
        <v>NJ</v>
      </c>
      <c r="E3886" s="2">
        <v>1</v>
      </c>
      <c r="F3886" s="2">
        <v>1</v>
      </c>
      <c r="G3886" s="2">
        <v>1</v>
      </c>
      <c r="H3886" s="2">
        <v>1</v>
      </c>
    </row>
    <row r="3887" spans="1:8" x14ac:dyDescent="0.25">
      <c r="A3887" s="1" t="str">
        <f>"08097"</f>
        <v>08097</v>
      </c>
      <c r="B3887" s="1" t="str">
        <f>"15804"</f>
        <v>15804</v>
      </c>
      <c r="C3887" s="1" t="str">
        <f>"WOODBURY HEIGHTS"</f>
        <v>WOODBURY HEIGHTS</v>
      </c>
      <c r="D3887" s="1" t="str">
        <f t="shared" si="289"/>
        <v>NJ</v>
      </c>
      <c r="E3887" s="2">
        <v>1</v>
      </c>
      <c r="F3887" s="2">
        <v>1</v>
      </c>
      <c r="G3887" s="2">
        <v>1</v>
      </c>
      <c r="H3887" s="2">
        <v>1</v>
      </c>
    </row>
    <row r="3888" spans="1:8" x14ac:dyDescent="0.25">
      <c r="A3888" s="1" t="str">
        <f>"08302"</f>
        <v>08302</v>
      </c>
      <c r="B3888" s="1" t="str">
        <f>"48864"</f>
        <v>48864</v>
      </c>
      <c r="C3888" s="1" t="str">
        <f>"BRIDGETON"</f>
        <v>BRIDGETON</v>
      </c>
      <c r="D3888" s="1" t="str">
        <f t="shared" si="289"/>
        <v>NJ</v>
      </c>
      <c r="E3888" s="2">
        <v>1</v>
      </c>
      <c r="F3888" s="2">
        <v>1</v>
      </c>
      <c r="G3888" s="2">
        <v>0</v>
      </c>
      <c r="H3888" s="2">
        <v>1</v>
      </c>
    </row>
    <row r="3889" spans="1:8" x14ac:dyDescent="0.25">
      <c r="A3889" s="1" t="str">
        <f>"08840"</f>
        <v>08840</v>
      </c>
      <c r="B3889" s="1" t="str">
        <f>"35154"</f>
        <v>35154</v>
      </c>
      <c r="C3889" s="1" t="str">
        <f>"METUCHEN"</f>
        <v>METUCHEN</v>
      </c>
      <c r="D3889" s="1" t="str">
        <f t="shared" si="289"/>
        <v>NJ</v>
      </c>
      <c r="E3889" s="2">
        <v>1</v>
      </c>
      <c r="F3889" s="2">
        <v>1</v>
      </c>
      <c r="G3889" s="2">
        <v>1</v>
      </c>
      <c r="H3889" s="2">
        <v>1</v>
      </c>
    </row>
    <row r="3890" spans="1:8" x14ac:dyDescent="0.25">
      <c r="A3890" s="1" t="str">
        <f>"10112"</f>
        <v>10112</v>
      </c>
      <c r="B3890" s="1" t="str">
        <f>"35614"</f>
        <v>35614</v>
      </c>
      <c r="C3890" s="1" t="str">
        <f>"NEW YORK"</f>
        <v>NEW YORK</v>
      </c>
      <c r="D3890" s="1" t="str">
        <f t="shared" ref="D3890:D3898" si="290">"NY"</f>
        <v>NY</v>
      </c>
      <c r="E3890" s="2">
        <v>0</v>
      </c>
      <c r="F3890" s="2">
        <v>1</v>
      </c>
      <c r="G3890" s="2">
        <v>1</v>
      </c>
      <c r="H3890" s="2">
        <v>1</v>
      </c>
    </row>
    <row r="3891" spans="1:8" x14ac:dyDescent="0.25">
      <c r="A3891" s="1" t="str">
        <f>"10306"</f>
        <v>10306</v>
      </c>
      <c r="B3891" s="1" t="str">
        <f>"35614"</f>
        <v>35614</v>
      </c>
      <c r="C3891" s="1" t="str">
        <f>"STATEN ISLAND"</f>
        <v>STATEN ISLAND</v>
      </c>
      <c r="D3891" s="1" t="str">
        <f t="shared" si="290"/>
        <v>NY</v>
      </c>
      <c r="E3891" s="2">
        <v>1</v>
      </c>
      <c r="F3891" s="2">
        <v>1</v>
      </c>
      <c r="G3891" s="2">
        <v>1</v>
      </c>
      <c r="H3891" s="2">
        <v>1</v>
      </c>
    </row>
    <row r="3892" spans="1:8" x14ac:dyDescent="0.25">
      <c r="A3892" s="1" t="str">
        <f>"10309"</f>
        <v>10309</v>
      </c>
      <c r="B3892" s="1" t="str">
        <f>"35614"</f>
        <v>35614</v>
      </c>
      <c r="C3892" s="1" t="str">
        <f>"STATEN ISLAND"</f>
        <v>STATEN ISLAND</v>
      </c>
      <c r="D3892" s="1" t="str">
        <f t="shared" si="290"/>
        <v>NY</v>
      </c>
      <c r="E3892" s="2">
        <v>1</v>
      </c>
      <c r="F3892" s="2">
        <v>1</v>
      </c>
      <c r="G3892" s="2">
        <v>1</v>
      </c>
      <c r="H3892" s="2">
        <v>1</v>
      </c>
    </row>
    <row r="3893" spans="1:8" x14ac:dyDescent="0.25">
      <c r="A3893" s="1" t="str">
        <f>"11234"</f>
        <v>11234</v>
      </c>
      <c r="B3893" s="1" t="str">
        <f>"35614"</f>
        <v>35614</v>
      </c>
      <c r="C3893" s="1" t="str">
        <f>"BROOKLYN"</f>
        <v>BROOKLYN</v>
      </c>
      <c r="D3893" s="1" t="str">
        <f t="shared" si="290"/>
        <v>NY</v>
      </c>
      <c r="E3893" s="2">
        <v>1</v>
      </c>
      <c r="F3893" s="2">
        <v>1</v>
      </c>
      <c r="G3893" s="2">
        <v>1</v>
      </c>
      <c r="H3893" s="2">
        <v>1</v>
      </c>
    </row>
    <row r="3894" spans="1:8" x14ac:dyDescent="0.25">
      <c r="A3894" s="1" t="str">
        <f>"11385"</f>
        <v>11385</v>
      </c>
      <c r="B3894" s="1" t="str">
        <f>"35614"</f>
        <v>35614</v>
      </c>
      <c r="C3894" s="1" t="str">
        <f>"RIDGEWOOD"</f>
        <v>RIDGEWOOD</v>
      </c>
      <c r="D3894" s="1" t="str">
        <f t="shared" si="290"/>
        <v>NY</v>
      </c>
      <c r="E3894" s="2">
        <v>1</v>
      </c>
      <c r="F3894" s="2">
        <v>1</v>
      </c>
      <c r="G3894" s="2">
        <v>1</v>
      </c>
      <c r="H3894" s="2">
        <v>1</v>
      </c>
    </row>
    <row r="3895" spans="1:8" x14ac:dyDescent="0.25">
      <c r="A3895" s="1" t="str">
        <f>"11550"</f>
        <v>11550</v>
      </c>
      <c r="B3895" s="1" t="str">
        <f>"35004"</f>
        <v>35004</v>
      </c>
      <c r="C3895" s="1" t="str">
        <f>"HEMPSTEAD"</f>
        <v>HEMPSTEAD</v>
      </c>
      <c r="D3895" s="1" t="str">
        <f t="shared" si="290"/>
        <v>NY</v>
      </c>
      <c r="E3895" s="2">
        <v>1</v>
      </c>
      <c r="F3895" s="2">
        <v>1</v>
      </c>
      <c r="G3895" s="2">
        <v>1</v>
      </c>
      <c r="H3895" s="2">
        <v>1</v>
      </c>
    </row>
    <row r="3896" spans="1:8" x14ac:dyDescent="0.25">
      <c r="A3896" s="1" t="str">
        <f>"11577"</f>
        <v>11577</v>
      </c>
      <c r="B3896" s="1" t="str">
        <f>"35004"</f>
        <v>35004</v>
      </c>
      <c r="C3896" s="1" t="str">
        <f>"ROSLYN HEIGHTS"</f>
        <v>ROSLYN HEIGHTS</v>
      </c>
      <c r="D3896" s="1" t="str">
        <f t="shared" si="290"/>
        <v>NY</v>
      </c>
      <c r="E3896" s="2">
        <v>1</v>
      </c>
      <c r="F3896" s="2">
        <v>1</v>
      </c>
      <c r="G3896" s="2">
        <v>1</v>
      </c>
      <c r="H3896" s="2">
        <v>1</v>
      </c>
    </row>
    <row r="3897" spans="1:8" x14ac:dyDescent="0.25">
      <c r="A3897" s="1" t="str">
        <f>"11731"</f>
        <v>11731</v>
      </c>
      <c r="B3897" s="1" t="str">
        <f>"35004"</f>
        <v>35004</v>
      </c>
      <c r="C3897" s="1" t="str">
        <f>"EAST NORTHPORT"</f>
        <v>EAST NORTHPORT</v>
      </c>
      <c r="D3897" s="1" t="str">
        <f t="shared" si="290"/>
        <v>NY</v>
      </c>
      <c r="E3897" s="2">
        <v>1</v>
      </c>
      <c r="F3897" s="2">
        <v>1</v>
      </c>
      <c r="G3897" s="2">
        <v>1</v>
      </c>
      <c r="H3897" s="2">
        <v>1</v>
      </c>
    </row>
    <row r="3898" spans="1:8" x14ac:dyDescent="0.25">
      <c r="A3898" s="1" t="str">
        <f>"10707"</f>
        <v>10707</v>
      </c>
      <c r="B3898" s="1" t="str">
        <f>"35614"</f>
        <v>35614</v>
      </c>
      <c r="C3898" s="1" t="str">
        <f>"TUCKAHOE"</f>
        <v>TUCKAHOE</v>
      </c>
      <c r="D3898" s="1" t="str">
        <f t="shared" si="290"/>
        <v>NY</v>
      </c>
      <c r="E3898" s="2">
        <v>1</v>
      </c>
      <c r="F3898" s="2">
        <v>1</v>
      </c>
      <c r="G3898" s="2">
        <v>1</v>
      </c>
      <c r="H3898" s="2">
        <v>1</v>
      </c>
    </row>
    <row r="3899" spans="1:8" x14ac:dyDescent="0.25">
      <c r="A3899" s="1" t="str">
        <f>"18928"</f>
        <v>18928</v>
      </c>
      <c r="B3899" s="1" t="str">
        <f>"33874"</f>
        <v>33874</v>
      </c>
      <c r="C3899" s="1" t="str">
        <f>"HOLICONG"</f>
        <v>HOLICONG</v>
      </c>
      <c r="D3899" s="1" t="str">
        <f t="shared" ref="D3899:D3907" si="291">"PA"</f>
        <v>PA</v>
      </c>
      <c r="E3899" s="2">
        <v>1</v>
      </c>
      <c r="F3899" s="2">
        <v>1</v>
      </c>
      <c r="G3899" s="2">
        <v>1</v>
      </c>
      <c r="H3899" s="2">
        <v>1</v>
      </c>
    </row>
    <row r="3900" spans="1:8" x14ac:dyDescent="0.25">
      <c r="A3900" s="1" t="str">
        <f>"18951"</f>
        <v>18951</v>
      </c>
      <c r="B3900" s="1" t="str">
        <f>"33874"</f>
        <v>33874</v>
      </c>
      <c r="C3900" s="1" t="str">
        <f>"QUAKERTOWN"</f>
        <v>QUAKERTOWN</v>
      </c>
      <c r="D3900" s="1" t="str">
        <f t="shared" si="291"/>
        <v>PA</v>
      </c>
      <c r="E3900" s="2">
        <v>1</v>
      </c>
      <c r="F3900" s="2">
        <v>1</v>
      </c>
      <c r="G3900" s="2">
        <v>1</v>
      </c>
      <c r="H3900" s="2">
        <v>1</v>
      </c>
    </row>
    <row r="3901" spans="1:8" x14ac:dyDescent="0.25">
      <c r="A3901" s="1" t="str">
        <f>"18954"</f>
        <v>18954</v>
      </c>
      <c r="B3901" s="1" t="str">
        <f>"33874"</f>
        <v>33874</v>
      </c>
      <c r="C3901" s="1" t="str">
        <f>"RICHBORO"</f>
        <v>RICHBORO</v>
      </c>
      <c r="D3901" s="1" t="str">
        <f t="shared" si="291"/>
        <v>PA</v>
      </c>
      <c r="E3901" s="2">
        <v>1</v>
      </c>
      <c r="F3901" s="2">
        <v>1</v>
      </c>
      <c r="G3901" s="2">
        <v>1</v>
      </c>
      <c r="H3901" s="2">
        <v>1</v>
      </c>
    </row>
    <row r="3902" spans="1:8" x14ac:dyDescent="0.25">
      <c r="A3902" s="1" t="str">
        <f>"19006"</f>
        <v>19006</v>
      </c>
      <c r="B3902" s="1" t="str">
        <f>"33874"</f>
        <v>33874</v>
      </c>
      <c r="C3902" s="1" t="str">
        <f>"HUNTINGDON VALLEY"</f>
        <v>HUNTINGDON VALLEY</v>
      </c>
      <c r="D3902" s="1" t="str">
        <f t="shared" si="291"/>
        <v>PA</v>
      </c>
      <c r="E3902" s="2">
        <v>1</v>
      </c>
      <c r="F3902" s="2">
        <v>1</v>
      </c>
      <c r="G3902" s="2">
        <v>1</v>
      </c>
      <c r="H3902" s="2">
        <v>1</v>
      </c>
    </row>
    <row r="3903" spans="1:8" x14ac:dyDescent="0.25">
      <c r="A3903" s="1" t="str">
        <f>"19033"</f>
        <v>19033</v>
      </c>
      <c r="B3903" s="1" t="str">
        <f>"37964"</f>
        <v>37964</v>
      </c>
      <c r="C3903" s="1" t="str">
        <f>"FOLSOM"</f>
        <v>FOLSOM</v>
      </c>
      <c r="D3903" s="1" t="str">
        <f t="shared" si="291"/>
        <v>PA</v>
      </c>
      <c r="E3903" s="2">
        <v>1</v>
      </c>
      <c r="F3903" s="2">
        <v>1</v>
      </c>
      <c r="G3903" s="2">
        <v>1</v>
      </c>
      <c r="H3903" s="2">
        <v>1</v>
      </c>
    </row>
    <row r="3904" spans="1:8" x14ac:dyDescent="0.25">
      <c r="A3904" s="1" t="str">
        <f>"19076"</f>
        <v>19076</v>
      </c>
      <c r="B3904" s="1" t="str">
        <f>"37964"</f>
        <v>37964</v>
      </c>
      <c r="C3904" s="1" t="str">
        <f>"PROSPECT PARK"</f>
        <v>PROSPECT PARK</v>
      </c>
      <c r="D3904" s="1" t="str">
        <f t="shared" si="291"/>
        <v>PA</v>
      </c>
      <c r="E3904" s="2">
        <v>1</v>
      </c>
      <c r="F3904" s="2">
        <v>1</v>
      </c>
      <c r="G3904" s="2">
        <v>1</v>
      </c>
      <c r="H3904" s="2">
        <v>1</v>
      </c>
    </row>
    <row r="3905" spans="1:8" x14ac:dyDescent="0.25">
      <c r="A3905" s="1" t="str">
        <f>"19146"</f>
        <v>19146</v>
      </c>
      <c r="B3905" s="1" t="str">
        <f>"37964"</f>
        <v>37964</v>
      </c>
      <c r="C3905" s="1" t="str">
        <f>"PHILADELPHIA"</f>
        <v>PHILADELPHIA</v>
      </c>
      <c r="D3905" s="1" t="str">
        <f t="shared" si="291"/>
        <v>PA</v>
      </c>
      <c r="E3905" s="2">
        <v>1</v>
      </c>
      <c r="F3905" s="2">
        <v>1</v>
      </c>
      <c r="G3905" s="2">
        <v>1</v>
      </c>
      <c r="H3905" s="2">
        <v>1</v>
      </c>
    </row>
    <row r="3906" spans="1:8" x14ac:dyDescent="0.25">
      <c r="A3906" s="1" t="str">
        <f>"19401"</f>
        <v>19401</v>
      </c>
      <c r="B3906" s="1" t="str">
        <f>"33874"</f>
        <v>33874</v>
      </c>
      <c r="C3906" s="1" t="str">
        <f>"NORRISTOWN"</f>
        <v>NORRISTOWN</v>
      </c>
      <c r="D3906" s="1" t="str">
        <f t="shared" si="291"/>
        <v>PA</v>
      </c>
      <c r="E3906" s="2">
        <v>1</v>
      </c>
      <c r="F3906" s="2">
        <v>1</v>
      </c>
      <c r="G3906" s="2">
        <v>1</v>
      </c>
      <c r="H3906" s="2">
        <v>1</v>
      </c>
    </row>
    <row r="3907" spans="1:8" x14ac:dyDescent="0.25">
      <c r="A3907" s="1" t="str">
        <f>"19362"</f>
        <v>19362</v>
      </c>
      <c r="B3907" s="1" t="str">
        <f>"33874"</f>
        <v>33874</v>
      </c>
      <c r="C3907" s="1" t="str">
        <f>"NOTTINGHAM"</f>
        <v>NOTTINGHAM</v>
      </c>
      <c r="D3907" s="1" t="str">
        <f t="shared" si="291"/>
        <v>PA</v>
      </c>
      <c r="E3907" s="2">
        <v>1</v>
      </c>
      <c r="F3907" s="2">
        <v>1</v>
      </c>
      <c r="G3907" s="2">
        <v>1</v>
      </c>
      <c r="H3907" s="2">
        <v>1</v>
      </c>
    </row>
    <row r="3908" spans="1:8" x14ac:dyDescent="0.25">
      <c r="A3908" s="1" t="str">
        <f>"19804"</f>
        <v>19804</v>
      </c>
      <c r="B3908" s="1" t="str">
        <f>"48864"</f>
        <v>48864</v>
      </c>
      <c r="C3908" s="1" t="str">
        <f>"WILMINGTON"</f>
        <v>WILMINGTON</v>
      </c>
      <c r="D3908" s="1" t="str">
        <f>"DE"</f>
        <v>DE</v>
      </c>
      <c r="E3908" s="2">
        <v>1</v>
      </c>
      <c r="F3908" s="2">
        <v>1</v>
      </c>
      <c r="G3908" s="2">
        <v>1</v>
      </c>
      <c r="H3908" s="2">
        <v>1</v>
      </c>
    </row>
    <row r="3909" spans="1:8" x14ac:dyDescent="0.25">
      <c r="A3909" s="1" t="str">
        <f>"20015"</f>
        <v>20015</v>
      </c>
      <c r="B3909" s="1" t="str">
        <f>"47894"</f>
        <v>47894</v>
      </c>
      <c r="C3909" s="1" t="str">
        <f>"WASHINGTON"</f>
        <v>WASHINGTON</v>
      </c>
      <c r="D3909" s="1" t="str">
        <f>"DC"</f>
        <v>DC</v>
      </c>
      <c r="E3909" s="2">
        <v>1</v>
      </c>
      <c r="F3909" s="2">
        <v>1</v>
      </c>
      <c r="G3909" s="2">
        <v>1</v>
      </c>
      <c r="H3909" s="2">
        <v>1</v>
      </c>
    </row>
    <row r="3910" spans="1:8" x14ac:dyDescent="0.25">
      <c r="A3910" s="1" t="str">
        <f>"20904"</f>
        <v>20904</v>
      </c>
      <c r="B3910" s="1" t="str">
        <f>"47894"</f>
        <v>47894</v>
      </c>
      <c r="C3910" s="1" t="str">
        <f>"SILVER SPRING"</f>
        <v>SILVER SPRING</v>
      </c>
      <c r="D3910" s="1" t="str">
        <f>"MD"</f>
        <v>MD</v>
      </c>
      <c r="E3910" s="2">
        <v>4.0648590699959696E-3</v>
      </c>
      <c r="F3910" s="2">
        <v>0</v>
      </c>
      <c r="G3910" s="2">
        <v>0</v>
      </c>
      <c r="H3910" s="2">
        <v>3.7089871611982799E-3</v>
      </c>
    </row>
    <row r="3911" spans="1:8" x14ac:dyDescent="0.25">
      <c r="A3911" s="1" t="str">
        <f>"20904"</f>
        <v>20904</v>
      </c>
      <c r="B3911" s="1" t="str">
        <f>"23224"</f>
        <v>23224</v>
      </c>
      <c r="C3911" s="1" t="str">
        <f>"SILVER SPRING"</f>
        <v>SILVER SPRING</v>
      </c>
      <c r="D3911" s="1" t="str">
        <f>"MD"</f>
        <v>MD</v>
      </c>
      <c r="E3911" s="2">
        <v>0.99593514093000401</v>
      </c>
      <c r="F3911" s="2">
        <v>1</v>
      </c>
      <c r="G3911" s="2">
        <v>1</v>
      </c>
      <c r="H3911" s="2">
        <v>0.99629101283880095</v>
      </c>
    </row>
    <row r="3912" spans="1:8" x14ac:dyDescent="0.25">
      <c r="A3912" s="1" t="str">
        <f>"20172"</f>
        <v>20172</v>
      </c>
      <c r="B3912" s="1" t="str">
        <f>"47894"</f>
        <v>47894</v>
      </c>
      <c r="C3912" s="1" t="str">
        <f>"HERNDON"</f>
        <v>HERNDON</v>
      </c>
      <c r="D3912" s="1" t="str">
        <f>"VA"</f>
        <v>VA</v>
      </c>
      <c r="E3912" s="2">
        <v>1</v>
      </c>
      <c r="F3912" s="2">
        <v>1</v>
      </c>
      <c r="G3912" s="2">
        <v>1</v>
      </c>
      <c r="H3912" s="2">
        <v>1</v>
      </c>
    </row>
    <row r="3913" spans="1:8" x14ac:dyDescent="0.25">
      <c r="A3913" s="1" t="str">
        <f>"20170"</f>
        <v>20170</v>
      </c>
      <c r="B3913" s="1" t="str">
        <f>"47894"</f>
        <v>47894</v>
      </c>
      <c r="C3913" s="1" t="str">
        <f>"HERNDON"</f>
        <v>HERNDON</v>
      </c>
      <c r="D3913" s="1" t="str">
        <f>"VA"</f>
        <v>VA</v>
      </c>
      <c r="E3913" s="2">
        <v>1</v>
      </c>
      <c r="F3913" s="2">
        <v>1</v>
      </c>
      <c r="G3913" s="2">
        <v>1</v>
      </c>
      <c r="H3913" s="2">
        <v>1</v>
      </c>
    </row>
    <row r="3914" spans="1:8" x14ac:dyDescent="0.25">
      <c r="A3914" s="1" t="str">
        <f>"22009"</f>
        <v>22009</v>
      </c>
      <c r="B3914" s="1" t="str">
        <f>"47894"</f>
        <v>47894</v>
      </c>
      <c r="C3914" s="1" t="str">
        <f>"BURKE"</f>
        <v>BURKE</v>
      </c>
      <c r="D3914" s="1" t="str">
        <f>"VA"</f>
        <v>VA</v>
      </c>
      <c r="E3914" s="2">
        <v>1</v>
      </c>
      <c r="F3914" s="2">
        <v>1</v>
      </c>
      <c r="G3914" s="2">
        <v>1</v>
      </c>
      <c r="H3914" s="2">
        <v>1</v>
      </c>
    </row>
    <row r="3915" spans="1:8" x14ac:dyDescent="0.25">
      <c r="A3915" s="1" t="str">
        <f>"33436"</f>
        <v>33436</v>
      </c>
      <c r="B3915" s="1" t="str">
        <f>"48424"</f>
        <v>48424</v>
      </c>
      <c r="C3915" s="1" t="str">
        <f>"BOYNTON BEACH"</f>
        <v>BOYNTON BEACH</v>
      </c>
      <c r="D3915" s="1" t="str">
        <f>"FL"</f>
        <v>FL</v>
      </c>
      <c r="E3915" s="2">
        <v>1</v>
      </c>
      <c r="F3915" s="2">
        <v>1</v>
      </c>
      <c r="G3915" s="2">
        <v>1</v>
      </c>
      <c r="H3915" s="2">
        <v>1</v>
      </c>
    </row>
    <row r="3916" spans="1:8" x14ac:dyDescent="0.25">
      <c r="A3916" s="1" t="str">
        <f>"33323"</f>
        <v>33323</v>
      </c>
      <c r="B3916" s="1" t="str">
        <f>"22744"</f>
        <v>22744</v>
      </c>
      <c r="C3916" s="1" t="str">
        <f>"FORT LAUDERDALE"</f>
        <v>FORT LAUDERDALE</v>
      </c>
      <c r="D3916" s="1" t="str">
        <f>"FL"</f>
        <v>FL</v>
      </c>
      <c r="E3916" s="2">
        <v>1</v>
      </c>
      <c r="F3916" s="2">
        <v>1</v>
      </c>
      <c r="G3916" s="2">
        <v>1</v>
      </c>
      <c r="H3916" s="2">
        <v>1</v>
      </c>
    </row>
    <row r="3917" spans="1:8" x14ac:dyDescent="0.25">
      <c r="A3917" s="1" t="str">
        <f>"33187"</f>
        <v>33187</v>
      </c>
      <c r="B3917" s="1" t="str">
        <f>"33124"</f>
        <v>33124</v>
      </c>
      <c r="C3917" s="1" t="str">
        <f>"MIAMI"</f>
        <v>MIAMI</v>
      </c>
      <c r="D3917" s="1" t="str">
        <f>"FL"</f>
        <v>FL</v>
      </c>
      <c r="E3917" s="2">
        <v>1</v>
      </c>
      <c r="F3917" s="2">
        <v>1</v>
      </c>
      <c r="G3917" s="2">
        <v>1</v>
      </c>
      <c r="H3917" s="2">
        <v>1</v>
      </c>
    </row>
    <row r="3918" spans="1:8" x14ac:dyDescent="0.25">
      <c r="A3918" s="1" t="str">
        <f>"33141"</f>
        <v>33141</v>
      </c>
      <c r="B3918" s="1" t="str">
        <f>"33124"</f>
        <v>33124</v>
      </c>
      <c r="C3918" s="1" t="str">
        <f>"MIAMI BEACH"</f>
        <v>MIAMI BEACH</v>
      </c>
      <c r="D3918" s="1" t="str">
        <f>"FL"</f>
        <v>FL</v>
      </c>
      <c r="E3918" s="2">
        <v>1</v>
      </c>
      <c r="F3918" s="2">
        <v>1</v>
      </c>
      <c r="G3918" s="2">
        <v>1</v>
      </c>
      <c r="H3918" s="2">
        <v>1</v>
      </c>
    </row>
    <row r="3919" spans="1:8" x14ac:dyDescent="0.25">
      <c r="A3919" s="1" t="str">
        <f>"48023"</f>
        <v>48023</v>
      </c>
      <c r="B3919" s="1" t="str">
        <f t="shared" ref="B3919:B3924" si="292">"47664"</f>
        <v>47664</v>
      </c>
      <c r="C3919" s="1" t="str">
        <f>"FAIR HAVEN"</f>
        <v>FAIR HAVEN</v>
      </c>
      <c r="D3919" s="1" t="str">
        <f t="shared" ref="D3919:D3928" si="293">"MI"</f>
        <v>MI</v>
      </c>
      <c r="E3919" s="2">
        <v>1</v>
      </c>
      <c r="F3919" s="2">
        <v>1</v>
      </c>
      <c r="G3919" s="2">
        <v>1</v>
      </c>
      <c r="H3919" s="2">
        <v>1</v>
      </c>
    </row>
    <row r="3920" spans="1:8" x14ac:dyDescent="0.25">
      <c r="A3920" s="1" t="str">
        <f>"48060"</f>
        <v>48060</v>
      </c>
      <c r="B3920" s="1" t="str">
        <f t="shared" si="292"/>
        <v>47664</v>
      </c>
      <c r="C3920" s="1" t="str">
        <f>"PORT HURON"</f>
        <v>PORT HURON</v>
      </c>
      <c r="D3920" s="1" t="str">
        <f t="shared" si="293"/>
        <v>MI</v>
      </c>
      <c r="E3920" s="2">
        <v>1</v>
      </c>
      <c r="F3920" s="2">
        <v>1</v>
      </c>
      <c r="G3920" s="2">
        <v>1</v>
      </c>
      <c r="H3920" s="2">
        <v>1</v>
      </c>
    </row>
    <row r="3921" spans="1:8" x14ac:dyDescent="0.25">
      <c r="A3921" s="1" t="str">
        <f>"48005"</f>
        <v>48005</v>
      </c>
      <c r="B3921" s="1" t="str">
        <f t="shared" si="292"/>
        <v>47664</v>
      </c>
      <c r="C3921" s="1" t="str">
        <f>"ARMADA"</f>
        <v>ARMADA</v>
      </c>
      <c r="D3921" s="1" t="str">
        <f t="shared" si="293"/>
        <v>MI</v>
      </c>
      <c r="E3921" s="2">
        <v>1</v>
      </c>
      <c r="F3921" s="2">
        <v>1</v>
      </c>
      <c r="G3921" s="2">
        <v>1</v>
      </c>
      <c r="H3921" s="2">
        <v>1</v>
      </c>
    </row>
    <row r="3922" spans="1:8" x14ac:dyDescent="0.25">
      <c r="A3922" s="1" t="str">
        <f>"48081"</f>
        <v>48081</v>
      </c>
      <c r="B3922" s="1" t="str">
        <f t="shared" si="292"/>
        <v>47664</v>
      </c>
      <c r="C3922" s="1" t="str">
        <f>"SAINT CLAIR SHORES"</f>
        <v>SAINT CLAIR SHORES</v>
      </c>
      <c r="D3922" s="1" t="str">
        <f t="shared" si="293"/>
        <v>MI</v>
      </c>
      <c r="E3922" s="2">
        <v>1</v>
      </c>
      <c r="F3922" s="2">
        <v>1</v>
      </c>
      <c r="G3922" s="2">
        <v>1</v>
      </c>
      <c r="H3922" s="2">
        <v>1</v>
      </c>
    </row>
    <row r="3923" spans="1:8" x14ac:dyDescent="0.25">
      <c r="A3923" s="1" t="str">
        <f>"48063"</f>
        <v>48063</v>
      </c>
      <c r="B3923" s="1" t="str">
        <f t="shared" si="292"/>
        <v>47664</v>
      </c>
      <c r="C3923" s="1" t="str">
        <f>"COLUMBUS"</f>
        <v>COLUMBUS</v>
      </c>
      <c r="D3923" s="1" t="str">
        <f t="shared" si="293"/>
        <v>MI</v>
      </c>
      <c r="E3923" s="2">
        <v>1</v>
      </c>
      <c r="F3923" s="2">
        <v>1</v>
      </c>
      <c r="G3923" s="2">
        <v>1</v>
      </c>
      <c r="H3923" s="2">
        <v>1</v>
      </c>
    </row>
    <row r="3924" spans="1:8" x14ac:dyDescent="0.25">
      <c r="A3924" s="1" t="str">
        <f>"48071"</f>
        <v>48071</v>
      </c>
      <c r="B3924" s="1" t="str">
        <f t="shared" si="292"/>
        <v>47664</v>
      </c>
      <c r="C3924" s="1" t="str">
        <f>"MADISON HEIGHTS"</f>
        <v>MADISON HEIGHTS</v>
      </c>
      <c r="D3924" s="1" t="str">
        <f t="shared" si="293"/>
        <v>MI</v>
      </c>
      <c r="E3924" s="2">
        <v>1</v>
      </c>
      <c r="F3924" s="2">
        <v>1</v>
      </c>
      <c r="G3924" s="2">
        <v>1</v>
      </c>
      <c r="H3924" s="2">
        <v>1</v>
      </c>
    </row>
    <row r="3925" spans="1:8" x14ac:dyDescent="0.25">
      <c r="A3925" s="1" t="str">
        <f>"48173"</f>
        <v>48173</v>
      </c>
      <c r="B3925" s="1" t="str">
        <f>"19804"</f>
        <v>19804</v>
      </c>
      <c r="C3925" s="1" t="str">
        <f>"ROCKWOOD"</f>
        <v>ROCKWOOD</v>
      </c>
      <c r="D3925" s="1" t="str">
        <f t="shared" si="293"/>
        <v>MI</v>
      </c>
      <c r="E3925" s="2">
        <v>1</v>
      </c>
      <c r="F3925" s="2">
        <v>1</v>
      </c>
      <c r="G3925" s="2">
        <v>1</v>
      </c>
      <c r="H3925" s="2">
        <v>1</v>
      </c>
    </row>
    <row r="3926" spans="1:8" x14ac:dyDescent="0.25">
      <c r="A3926" s="1" t="str">
        <f>"48127"</f>
        <v>48127</v>
      </c>
      <c r="B3926" s="1" t="str">
        <f>"19804"</f>
        <v>19804</v>
      </c>
      <c r="C3926" s="1" t="str">
        <f>"DEARBORN HEIGHTS"</f>
        <v>DEARBORN HEIGHTS</v>
      </c>
      <c r="D3926" s="1" t="str">
        <f t="shared" si="293"/>
        <v>MI</v>
      </c>
      <c r="E3926" s="2">
        <v>1</v>
      </c>
      <c r="F3926" s="2">
        <v>1</v>
      </c>
      <c r="G3926" s="2">
        <v>1</v>
      </c>
      <c r="H3926" s="2">
        <v>1</v>
      </c>
    </row>
    <row r="3927" spans="1:8" x14ac:dyDescent="0.25">
      <c r="A3927" s="1" t="str">
        <f>"48099"</f>
        <v>48099</v>
      </c>
      <c r="B3927" s="1" t="str">
        <f>"47664"</f>
        <v>47664</v>
      </c>
      <c r="C3927" s="1" t="str">
        <f>"TROY"</f>
        <v>TROY</v>
      </c>
      <c r="D3927" s="1" t="str">
        <f t="shared" si="293"/>
        <v>MI</v>
      </c>
      <c r="E3927" s="2">
        <v>1</v>
      </c>
      <c r="F3927" s="2">
        <v>1</v>
      </c>
      <c r="G3927" s="2">
        <v>1</v>
      </c>
      <c r="H3927" s="2">
        <v>1</v>
      </c>
    </row>
    <row r="3928" spans="1:8" x14ac:dyDescent="0.25">
      <c r="A3928" s="1" t="str">
        <f>"48446"</f>
        <v>48446</v>
      </c>
      <c r="B3928" s="1" t="str">
        <f>"47664"</f>
        <v>47664</v>
      </c>
      <c r="C3928" s="1" t="str">
        <f>"LAPEER"</f>
        <v>LAPEER</v>
      </c>
      <c r="D3928" s="1" t="str">
        <f t="shared" si="293"/>
        <v>MI</v>
      </c>
      <c r="E3928" s="2">
        <v>1</v>
      </c>
      <c r="F3928" s="2">
        <v>1</v>
      </c>
      <c r="G3928" s="2">
        <v>1</v>
      </c>
      <c r="H3928" s="2">
        <v>1</v>
      </c>
    </row>
    <row r="3929" spans="1:8" x14ac:dyDescent="0.25">
      <c r="A3929" s="1" t="str">
        <f>"60412"</f>
        <v>60412</v>
      </c>
      <c r="B3929" s="1" t="str">
        <f>"16984"</f>
        <v>16984</v>
      </c>
      <c r="C3929" s="1" t="str">
        <f>"CHICAGO HEIGHTS"</f>
        <v>CHICAGO HEIGHTS</v>
      </c>
      <c r="D3929" s="1" t="str">
        <f t="shared" ref="D3929:D3941" si="294">"IL"</f>
        <v>IL</v>
      </c>
      <c r="E3929" s="2">
        <v>1</v>
      </c>
      <c r="F3929" s="2">
        <v>1</v>
      </c>
      <c r="G3929" s="2">
        <v>1</v>
      </c>
      <c r="H3929" s="2">
        <v>1</v>
      </c>
    </row>
    <row r="3930" spans="1:8" x14ac:dyDescent="0.25">
      <c r="A3930" s="1" t="str">
        <f>"60502"</f>
        <v>60502</v>
      </c>
      <c r="B3930" s="1" t="str">
        <f>"20994"</f>
        <v>20994</v>
      </c>
      <c r="C3930" s="1" t="str">
        <f>"AURORA"</f>
        <v>AURORA</v>
      </c>
      <c r="D3930" s="1" t="str">
        <f t="shared" si="294"/>
        <v>IL</v>
      </c>
      <c r="E3930" s="2">
        <v>0.21553259707873099</v>
      </c>
      <c r="F3930" s="2">
        <v>0.6</v>
      </c>
      <c r="G3930" s="2">
        <v>0.40174672489082902</v>
      </c>
      <c r="H3930" s="2">
        <v>0.26205706163062198</v>
      </c>
    </row>
    <row r="3931" spans="1:8" x14ac:dyDescent="0.25">
      <c r="A3931" s="1" t="str">
        <f>"60502"</f>
        <v>60502</v>
      </c>
      <c r="B3931" s="1" t="str">
        <f>"16984"</f>
        <v>16984</v>
      </c>
      <c r="C3931" s="1" t="str">
        <f>"AURORA"</f>
        <v>AURORA</v>
      </c>
      <c r="D3931" s="1" t="str">
        <f t="shared" si="294"/>
        <v>IL</v>
      </c>
      <c r="E3931" s="2">
        <v>0.78446740292126804</v>
      </c>
      <c r="F3931" s="2">
        <v>0.4</v>
      </c>
      <c r="G3931" s="2">
        <v>0.59825327510917004</v>
      </c>
      <c r="H3931" s="2">
        <v>0.73794293836937697</v>
      </c>
    </row>
    <row r="3932" spans="1:8" x14ac:dyDescent="0.25">
      <c r="A3932" s="1" t="str">
        <f>"60552"</f>
        <v>60552</v>
      </c>
      <c r="B3932" s="1" t="str">
        <f>"20994"</f>
        <v>20994</v>
      </c>
      <c r="C3932" s="1" t="str">
        <f>"SOMONAUK"</f>
        <v>SOMONAUK</v>
      </c>
      <c r="D3932" s="1" t="str">
        <f t="shared" si="294"/>
        <v>IL</v>
      </c>
      <c r="E3932" s="2">
        <v>1</v>
      </c>
      <c r="F3932" s="2">
        <v>1</v>
      </c>
      <c r="G3932" s="2">
        <v>1</v>
      </c>
      <c r="H3932" s="2">
        <v>1</v>
      </c>
    </row>
    <row r="3933" spans="1:8" x14ac:dyDescent="0.25">
      <c r="A3933" s="1" t="str">
        <f>"60041"</f>
        <v>60041</v>
      </c>
      <c r="B3933" s="1" t="str">
        <f>"29404"</f>
        <v>29404</v>
      </c>
      <c r="C3933" s="1" t="str">
        <f>"INGLESIDE"</f>
        <v>INGLESIDE</v>
      </c>
      <c r="D3933" s="1" t="str">
        <f t="shared" si="294"/>
        <v>IL</v>
      </c>
      <c r="E3933" s="2">
        <v>1</v>
      </c>
      <c r="F3933" s="2">
        <v>1</v>
      </c>
      <c r="G3933" s="2">
        <v>1</v>
      </c>
      <c r="H3933" s="2">
        <v>1</v>
      </c>
    </row>
    <row r="3934" spans="1:8" x14ac:dyDescent="0.25">
      <c r="A3934" s="1" t="str">
        <f>"60061"</f>
        <v>60061</v>
      </c>
      <c r="B3934" s="1" t="str">
        <f>"29404"</f>
        <v>29404</v>
      </c>
      <c r="C3934" s="1" t="str">
        <f>"VERNON HILLS"</f>
        <v>VERNON HILLS</v>
      </c>
      <c r="D3934" s="1" t="str">
        <f t="shared" si="294"/>
        <v>IL</v>
      </c>
      <c r="E3934" s="2">
        <v>1</v>
      </c>
      <c r="F3934" s="2">
        <v>1</v>
      </c>
      <c r="G3934" s="2">
        <v>1</v>
      </c>
      <c r="H3934" s="2">
        <v>1</v>
      </c>
    </row>
    <row r="3935" spans="1:8" x14ac:dyDescent="0.25">
      <c r="A3935" s="1" t="str">
        <f>"60124"</f>
        <v>60124</v>
      </c>
      <c r="B3935" s="1" t="str">
        <f>"20994"</f>
        <v>20994</v>
      </c>
      <c r="C3935" s="1" t="str">
        <f>"ELGIN"</f>
        <v>ELGIN</v>
      </c>
      <c r="D3935" s="1" t="str">
        <f t="shared" si="294"/>
        <v>IL</v>
      </c>
      <c r="E3935" s="2">
        <v>1</v>
      </c>
      <c r="F3935" s="2">
        <v>1</v>
      </c>
      <c r="G3935" s="2">
        <v>1</v>
      </c>
      <c r="H3935" s="2">
        <v>1</v>
      </c>
    </row>
    <row r="3936" spans="1:8" x14ac:dyDescent="0.25">
      <c r="A3936" s="1" t="str">
        <f>"60017"</f>
        <v>60017</v>
      </c>
      <c r="B3936" s="1" t="str">
        <f>"16984"</f>
        <v>16984</v>
      </c>
      <c r="C3936" s="1" t="str">
        <f>"DES PLAINES"</f>
        <v>DES PLAINES</v>
      </c>
      <c r="D3936" s="1" t="str">
        <f t="shared" si="294"/>
        <v>IL</v>
      </c>
      <c r="E3936" s="2">
        <v>1</v>
      </c>
      <c r="F3936" s="2">
        <v>1</v>
      </c>
      <c r="G3936" s="2">
        <v>1</v>
      </c>
      <c r="H3936" s="2">
        <v>1</v>
      </c>
    </row>
    <row r="3937" spans="1:8" x14ac:dyDescent="0.25">
      <c r="A3937" s="1" t="str">
        <f>"60090"</f>
        <v>60090</v>
      </c>
      <c r="B3937" s="1" t="str">
        <f>"29404"</f>
        <v>29404</v>
      </c>
      <c r="C3937" s="1" t="str">
        <f>"WHEELING"</f>
        <v>WHEELING</v>
      </c>
      <c r="D3937" s="1" t="str">
        <f t="shared" si="294"/>
        <v>IL</v>
      </c>
      <c r="E3937" s="2">
        <v>0</v>
      </c>
      <c r="F3937" s="2">
        <v>1.39186295503211E-2</v>
      </c>
      <c r="G3937" s="2">
        <v>1.1428571428571399E-3</v>
      </c>
      <c r="H3937" s="2">
        <v>1.34054675156796E-3</v>
      </c>
    </row>
    <row r="3938" spans="1:8" x14ac:dyDescent="0.25">
      <c r="A3938" s="1" t="str">
        <f>"60090"</f>
        <v>60090</v>
      </c>
      <c r="B3938" s="1" t="str">
        <f>"16984"</f>
        <v>16984</v>
      </c>
      <c r="C3938" s="1" t="str">
        <f>"WHEELING"</f>
        <v>WHEELING</v>
      </c>
      <c r="D3938" s="1" t="str">
        <f t="shared" si="294"/>
        <v>IL</v>
      </c>
      <c r="E3938" s="2">
        <v>1</v>
      </c>
      <c r="F3938" s="2">
        <v>0.98608137044967803</v>
      </c>
      <c r="G3938" s="2">
        <v>0.998857142857142</v>
      </c>
      <c r="H3938" s="2">
        <v>0.99865945324843197</v>
      </c>
    </row>
    <row r="3939" spans="1:8" x14ac:dyDescent="0.25">
      <c r="A3939" s="1" t="str">
        <f>"60106"</f>
        <v>60106</v>
      </c>
      <c r="B3939" s="1" t="str">
        <f>"16984"</f>
        <v>16984</v>
      </c>
      <c r="C3939" s="1" t="str">
        <f>"BENSENVILLE"</f>
        <v>BENSENVILLE</v>
      </c>
      <c r="D3939" s="1" t="str">
        <f t="shared" si="294"/>
        <v>IL</v>
      </c>
      <c r="E3939" s="2">
        <v>1</v>
      </c>
      <c r="F3939" s="2">
        <v>1</v>
      </c>
      <c r="G3939" s="2">
        <v>1</v>
      </c>
      <c r="H3939" s="2">
        <v>1</v>
      </c>
    </row>
    <row r="3940" spans="1:8" x14ac:dyDescent="0.25">
      <c r="A3940" s="1" t="str">
        <f>"60625"</f>
        <v>60625</v>
      </c>
      <c r="B3940" s="1" t="str">
        <f>"16984"</f>
        <v>16984</v>
      </c>
      <c r="C3940" s="1" t="str">
        <f>"CHICAGO"</f>
        <v>CHICAGO</v>
      </c>
      <c r="D3940" s="1" t="str">
        <f t="shared" si="294"/>
        <v>IL</v>
      </c>
      <c r="E3940" s="2">
        <v>1</v>
      </c>
      <c r="F3940" s="2">
        <v>1</v>
      </c>
      <c r="G3940" s="2">
        <v>1</v>
      </c>
      <c r="H3940" s="2">
        <v>1</v>
      </c>
    </row>
    <row r="3941" spans="1:8" x14ac:dyDescent="0.25">
      <c r="A3941" s="1" t="str">
        <f>"60645"</f>
        <v>60645</v>
      </c>
      <c r="B3941" s="1" t="str">
        <f>"16984"</f>
        <v>16984</v>
      </c>
      <c r="C3941" s="1" t="str">
        <f>"CHICAGO"</f>
        <v>CHICAGO</v>
      </c>
      <c r="D3941" s="1" t="str">
        <f t="shared" si="294"/>
        <v>IL</v>
      </c>
      <c r="E3941" s="2">
        <v>1</v>
      </c>
      <c r="F3941" s="2">
        <v>1</v>
      </c>
      <c r="G3941" s="2">
        <v>1</v>
      </c>
      <c r="H3941" s="2">
        <v>1</v>
      </c>
    </row>
    <row r="3942" spans="1:8" x14ac:dyDescent="0.25">
      <c r="A3942" s="1" t="str">
        <f>"75053"</f>
        <v>75053</v>
      </c>
      <c r="B3942" s="1" t="str">
        <f>"19124"</f>
        <v>19124</v>
      </c>
      <c r="C3942" s="1" t="str">
        <f>"GRAND PRAIRIE"</f>
        <v>GRAND PRAIRIE</v>
      </c>
      <c r="D3942" s="1" t="str">
        <f t="shared" ref="D3942:D3955" si="295">"TX"</f>
        <v>TX</v>
      </c>
      <c r="E3942" s="2">
        <v>0.67233697853381902</v>
      </c>
      <c r="F3942" s="2">
        <v>0.65166340508806198</v>
      </c>
      <c r="G3942" s="2">
        <v>0.5</v>
      </c>
      <c r="H3942" s="2">
        <v>0.66856568364611202</v>
      </c>
    </row>
    <row r="3943" spans="1:8" x14ac:dyDescent="0.25">
      <c r="A3943" s="1" t="str">
        <f>"75053"</f>
        <v>75053</v>
      </c>
      <c r="B3943" s="1" t="str">
        <f>"23104"</f>
        <v>23104</v>
      </c>
      <c r="C3943" s="1" t="str">
        <f>"GRAND PRAIRIE"</f>
        <v>GRAND PRAIRIE</v>
      </c>
      <c r="D3943" s="1" t="str">
        <f t="shared" si="295"/>
        <v>TX</v>
      </c>
      <c r="E3943" s="2">
        <v>0.32766302146617998</v>
      </c>
      <c r="F3943" s="2">
        <v>0.34833659491193703</v>
      </c>
      <c r="G3943" s="2">
        <v>0.5</v>
      </c>
      <c r="H3943" s="2">
        <v>0.33143431635388698</v>
      </c>
    </row>
    <row r="3944" spans="1:8" x14ac:dyDescent="0.25">
      <c r="A3944" s="1" t="str">
        <f>"75225"</f>
        <v>75225</v>
      </c>
      <c r="B3944" s="1" t="str">
        <f t="shared" ref="B3944:B3950" si="296">"19124"</f>
        <v>19124</v>
      </c>
      <c r="C3944" s="1" t="str">
        <f>"DALLAS"</f>
        <v>DALLAS</v>
      </c>
      <c r="D3944" s="1" t="str">
        <f t="shared" si="295"/>
        <v>TX</v>
      </c>
      <c r="E3944" s="2">
        <v>1</v>
      </c>
      <c r="F3944" s="2">
        <v>1</v>
      </c>
      <c r="G3944" s="2">
        <v>1</v>
      </c>
      <c r="H3944" s="2">
        <v>1</v>
      </c>
    </row>
    <row r="3945" spans="1:8" x14ac:dyDescent="0.25">
      <c r="A3945" s="1" t="str">
        <f>"75115"</f>
        <v>75115</v>
      </c>
      <c r="B3945" s="1" t="str">
        <f t="shared" si="296"/>
        <v>19124</v>
      </c>
      <c r="C3945" s="1" t="str">
        <f>"DESOTO"</f>
        <v>DESOTO</v>
      </c>
      <c r="D3945" s="1" t="str">
        <f t="shared" si="295"/>
        <v>TX</v>
      </c>
      <c r="E3945" s="2">
        <v>1</v>
      </c>
      <c r="F3945" s="2">
        <v>1</v>
      </c>
      <c r="G3945" s="2">
        <v>1</v>
      </c>
      <c r="H3945" s="2">
        <v>1</v>
      </c>
    </row>
    <row r="3946" spans="1:8" x14ac:dyDescent="0.25">
      <c r="A3946" s="1" t="str">
        <f>"75094"</f>
        <v>75094</v>
      </c>
      <c r="B3946" s="1" t="str">
        <f t="shared" si="296"/>
        <v>19124</v>
      </c>
      <c r="C3946" s="1" t="str">
        <f>"PLANO"</f>
        <v>PLANO</v>
      </c>
      <c r="D3946" s="1" t="str">
        <f t="shared" si="295"/>
        <v>TX</v>
      </c>
      <c r="E3946" s="2">
        <v>1</v>
      </c>
      <c r="F3946" s="2">
        <v>1</v>
      </c>
      <c r="G3946" s="2">
        <v>1</v>
      </c>
      <c r="H3946" s="2">
        <v>1</v>
      </c>
    </row>
    <row r="3947" spans="1:8" x14ac:dyDescent="0.25">
      <c r="A3947" s="1" t="str">
        <f>"75141"</f>
        <v>75141</v>
      </c>
      <c r="B3947" s="1" t="str">
        <f t="shared" si="296"/>
        <v>19124</v>
      </c>
      <c r="C3947" s="1" t="str">
        <f>"HUTCHINS"</f>
        <v>HUTCHINS</v>
      </c>
      <c r="D3947" s="1" t="str">
        <f t="shared" si="295"/>
        <v>TX</v>
      </c>
      <c r="E3947" s="2">
        <v>1</v>
      </c>
      <c r="F3947" s="2">
        <v>1</v>
      </c>
      <c r="G3947" s="2">
        <v>1</v>
      </c>
      <c r="H3947" s="2">
        <v>1</v>
      </c>
    </row>
    <row r="3948" spans="1:8" x14ac:dyDescent="0.25">
      <c r="A3948" s="1" t="str">
        <f>"75409"</f>
        <v>75409</v>
      </c>
      <c r="B3948" s="1" t="str">
        <f t="shared" si="296"/>
        <v>19124</v>
      </c>
      <c r="C3948" s="1" t="str">
        <f>"ANNA"</f>
        <v>ANNA</v>
      </c>
      <c r="D3948" s="1" t="str">
        <f t="shared" si="295"/>
        <v>TX</v>
      </c>
      <c r="E3948" s="2">
        <v>1</v>
      </c>
      <c r="F3948" s="2">
        <v>1</v>
      </c>
      <c r="G3948" s="2">
        <v>1</v>
      </c>
      <c r="H3948" s="2">
        <v>1</v>
      </c>
    </row>
    <row r="3949" spans="1:8" x14ac:dyDescent="0.25">
      <c r="A3949" s="1" t="str">
        <f>"75422"</f>
        <v>75422</v>
      </c>
      <c r="B3949" s="1" t="str">
        <f t="shared" si="296"/>
        <v>19124</v>
      </c>
      <c r="C3949" s="1" t="str">
        <f>"CAMPBELL"</f>
        <v>CAMPBELL</v>
      </c>
      <c r="D3949" s="1" t="str">
        <f t="shared" si="295"/>
        <v>TX</v>
      </c>
      <c r="E3949" s="2">
        <v>1</v>
      </c>
      <c r="F3949" s="2">
        <v>1</v>
      </c>
      <c r="G3949" s="2">
        <v>1</v>
      </c>
      <c r="H3949" s="2">
        <v>1</v>
      </c>
    </row>
    <row r="3950" spans="1:8" x14ac:dyDescent="0.25">
      <c r="A3950" s="1" t="str">
        <f>"76050"</f>
        <v>76050</v>
      </c>
      <c r="B3950" s="1" t="str">
        <f t="shared" si="296"/>
        <v>19124</v>
      </c>
      <c r="C3950" s="1" t="str">
        <f>"GRANDVIEW"</f>
        <v>GRANDVIEW</v>
      </c>
      <c r="D3950" s="1" t="str">
        <f t="shared" si="295"/>
        <v>TX</v>
      </c>
      <c r="E3950" s="2">
        <v>4.33017591339648E-2</v>
      </c>
      <c r="F3950" s="2">
        <v>2.8037383177569999E-2</v>
      </c>
      <c r="G3950" s="2">
        <v>1.9801980198019799E-2</v>
      </c>
      <c r="H3950" s="2">
        <v>4.2035398230088401E-2</v>
      </c>
    </row>
    <row r="3951" spans="1:8" x14ac:dyDescent="0.25">
      <c r="A3951" s="1" t="str">
        <f>"76050"</f>
        <v>76050</v>
      </c>
      <c r="B3951" s="1" t="str">
        <f>"23104"</f>
        <v>23104</v>
      </c>
      <c r="C3951" s="1" t="str">
        <f>"GRANDVIEW"</f>
        <v>GRANDVIEW</v>
      </c>
      <c r="D3951" s="1" t="str">
        <f t="shared" si="295"/>
        <v>TX</v>
      </c>
      <c r="E3951" s="2">
        <v>0.95669824086603505</v>
      </c>
      <c r="F3951" s="2">
        <v>0.97196261682242902</v>
      </c>
      <c r="G3951" s="2">
        <v>0.98019801980197996</v>
      </c>
      <c r="H3951" s="2">
        <v>0.95796460176991105</v>
      </c>
    </row>
    <row r="3952" spans="1:8" x14ac:dyDescent="0.25">
      <c r="A3952" s="1" t="str">
        <f>"76033"</f>
        <v>76033</v>
      </c>
      <c r="B3952" s="1" t="str">
        <f>"23104"</f>
        <v>23104</v>
      </c>
      <c r="C3952" s="1" t="str">
        <f>"CLEBURNE"</f>
        <v>CLEBURNE</v>
      </c>
      <c r="D3952" s="1" t="str">
        <f t="shared" si="295"/>
        <v>TX</v>
      </c>
      <c r="E3952" s="2">
        <v>1</v>
      </c>
      <c r="F3952" s="2">
        <v>1</v>
      </c>
      <c r="G3952" s="2">
        <v>1</v>
      </c>
      <c r="H3952" s="2">
        <v>1</v>
      </c>
    </row>
    <row r="3953" spans="1:8" x14ac:dyDescent="0.25">
      <c r="A3953" s="1" t="str">
        <f>"76034"</f>
        <v>76034</v>
      </c>
      <c r="B3953" s="1" t="str">
        <f>"23104"</f>
        <v>23104</v>
      </c>
      <c r="C3953" s="1" t="str">
        <f>"COLLEYVILLE"</f>
        <v>COLLEYVILLE</v>
      </c>
      <c r="D3953" s="1" t="str">
        <f t="shared" si="295"/>
        <v>TX</v>
      </c>
      <c r="E3953" s="2">
        <v>1</v>
      </c>
      <c r="F3953" s="2">
        <v>1</v>
      </c>
      <c r="G3953" s="2">
        <v>1</v>
      </c>
      <c r="H3953" s="2">
        <v>1</v>
      </c>
    </row>
    <row r="3954" spans="1:8" x14ac:dyDescent="0.25">
      <c r="A3954" s="1" t="str">
        <f>"76115"</f>
        <v>76115</v>
      </c>
      <c r="B3954" s="1" t="str">
        <f>"23104"</f>
        <v>23104</v>
      </c>
      <c r="C3954" s="1" t="str">
        <f>"FORT WORTH"</f>
        <v>FORT WORTH</v>
      </c>
      <c r="D3954" s="1" t="str">
        <f t="shared" si="295"/>
        <v>TX</v>
      </c>
      <c r="E3954" s="2">
        <v>1</v>
      </c>
      <c r="F3954" s="2">
        <v>1</v>
      </c>
      <c r="G3954" s="2">
        <v>1</v>
      </c>
      <c r="H3954" s="2">
        <v>1</v>
      </c>
    </row>
    <row r="3955" spans="1:8" x14ac:dyDescent="0.25">
      <c r="A3955" s="1" t="str">
        <f>"76651"</f>
        <v>76651</v>
      </c>
      <c r="B3955" s="1" t="str">
        <f>"19124"</f>
        <v>19124</v>
      </c>
      <c r="C3955" s="1" t="str">
        <f>"ITALY"</f>
        <v>ITALY</v>
      </c>
      <c r="D3955" s="1" t="str">
        <f t="shared" si="295"/>
        <v>TX</v>
      </c>
      <c r="E3955" s="2">
        <v>1</v>
      </c>
      <c r="F3955" s="2">
        <v>1</v>
      </c>
      <c r="G3955" s="2">
        <v>1</v>
      </c>
      <c r="H3955" s="2">
        <v>1</v>
      </c>
    </row>
    <row r="3956" spans="1:8" x14ac:dyDescent="0.25">
      <c r="A3956" s="1" t="str">
        <f>"90220"</f>
        <v>90220</v>
      </c>
      <c r="B3956" s="1" t="str">
        <f t="shared" ref="B3956:B3964" si="297">"31084"</f>
        <v>31084</v>
      </c>
      <c r="C3956" s="1" t="str">
        <f>"COMPTON"</f>
        <v>COMPTON</v>
      </c>
      <c r="D3956" s="1" t="str">
        <f t="shared" ref="D3956:D3973" si="298">"CA"</f>
        <v>CA</v>
      </c>
      <c r="E3956" s="2">
        <v>1</v>
      </c>
      <c r="F3956" s="2">
        <v>1</v>
      </c>
      <c r="G3956" s="2">
        <v>1</v>
      </c>
      <c r="H3956" s="2">
        <v>1</v>
      </c>
    </row>
    <row r="3957" spans="1:8" x14ac:dyDescent="0.25">
      <c r="A3957" s="1" t="str">
        <f>"90240"</f>
        <v>90240</v>
      </c>
      <c r="B3957" s="1" t="str">
        <f t="shared" si="297"/>
        <v>31084</v>
      </c>
      <c r="C3957" s="1" t="str">
        <f>"DOWNEY"</f>
        <v>DOWNEY</v>
      </c>
      <c r="D3957" s="1" t="str">
        <f t="shared" si="298"/>
        <v>CA</v>
      </c>
      <c r="E3957" s="2">
        <v>1</v>
      </c>
      <c r="F3957" s="2">
        <v>1</v>
      </c>
      <c r="G3957" s="2">
        <v>1</v>
      </c>
      <c r="H3957" s="2">
        <v>1</v>
      </c>
    </row>
    <row r="3958" spans="1:8" x14ac:dyDescent="0.25">
      <c r="A3958" s="1" t="str">
        <f>"90239"</f>
        <v>90239</v>
      </c>
      <c r="B3958" s="1" t="str">
        <f t="shared" si="297"/>
        <v>31084</v>
      </c>
      <c r="C3958" s="1" t="str">
        <f>"DOWNEY"</f>
        <v>DOWNEY</v>
      </c>
      <c r="D3958" s="1" t="str">
        <f t="shared" si="298"/>
        <v>CA</v>
      </c>
      <c r="E3958" s="2">
        <v>1</v>
      </c>
      <c r="F3958" s="2">
        <v>1</v>
      </c>
      <c r="G3958" s="2">
        <v>1</v>
      </c>
      <c r="H3958" s="2">
        <v>1</v>
      </c>
    </row>
    <row r="3959" spans="1:8" x14ac:dyDescent="0.25">
      <c r="A3959" s="1" t="str">
        <f>"90277"</f>
        <v>90277</v>
      </c>
      <c r="B3959" s="1" t="str">
        <f t="shared" si="297"/>
        <v>31084</v>
      </c>
      <c r="C3959" s="1" t="str">
        <f>"REDONDO BEACH"</f>
        <v>REDONDO BEACH</v>
      </c>
      <c r="D3959" s="1" t="str">
        <f t="shared" si="298"/>
        <v>CA</v>
      </c>
      <c r="E3959" s="2">
        <v>1</v>
      </c>
      <c r="F3959" s="2">
        <v>1</v>
      </c>
      <c r="G3959" s="2">
        <v>1</v>
      </c>
      <c r="H3959" s="2">
        <v>1</v>
      </c>
    </row>
    <row r="3960" spans="1:8" x14ac:dyDescent="0.25">
      <c r="A3960" s="1" t="str">
        <f>"91342"</f>
        <v>91342</v>
      </c>
      <c r="B3960" s="1" t="str">
        <f t="shared" si="297"/>
        <v>31084</v>
      </c>
      <c r="C3960" s="1" t="str">
        <f>"SYLMAR"</f>
        <v>SYLMAR</v>
      </c>
      <c r="D3960" s="1" t="str">
        <f t="shared" si="298"/>
        <v>CA</v>
      </c>
      <c r="E3960" s="2">
        <v>1</v>
      </c>
      <c r="F3960" s="2">
        <v>1</v>
      </c>
      <c r="G3960" s="2">
        <v>1</v>
      </c>
      <c r="H3960" s="2">
        <v>1</v>
      </c>
    </row>
    <row r="3961" spans="1:8" x14ac:dyDescent="0.25">
      <c r="A3961" s="1" t="str">
        <f>"91362"</f>
        <v>91362</v>
      </c>
      <c r="B3961" s="1" t="str">
        <f t="shared" si="297"/>
        <v>31084</v>
      </c>
      <c r="C3961" s="1" t="str">
        <f>"THOUSAND OAKS"</f>
        <v>THOUSAND OAKS</v>
      </c>
      <c r="D3961" s="1" t="str">
        <f t="shared" si="298"/>
        <v>CA</v>
      </c>
      <c r="E3961" s="2">
        <v>1</v>
      </c>
      <c r="F3961" s="2">
        <v>1</v>
      </c>
      <c r="G3961" s="2">
        <v>1</v>
      </c>
      <c r="H3961" s="2">
        <v>1</v>
      </c>
    </row>
    <row r="3962" spans="1:8" x14ac:dyDescent="0.25">
      <c r="A3962" s="1" t="str">
        <f>"90801"</f>
        <v>90801</v>
      </c>
      <c r="B3962" s="1" t="str">
        <f t="shared" si="297"/>
        <v>31084</v>
      </c>
      <c r="C3962" s="1" t="str">
        <f>"LONG BEACH"</f>
        <v>LONG BEACH</v>
      </c>
      <c r="D3962" s="1" t="str">
        <f t="shared" si="298"/>
        <v>CA</v>
      </c>
      <c r="E3962" s="2">
        <v>1</v>
      </c>
      <c r="F3962" s="2">
        <v>1</v>
      </c>
      <c r="G3962" s="2">
        <v>1</v>
      </c>
      <c r="H3962" s="2">
        <v>1</v>
      </c>
    </row>
    <row r="3963" spans="1:8" x14ac:dyDescent="0.25">
      <c r="A3963" s="1" t="str">
        <f>"93543"</f>
        <v>93543</v>
      </c>
      <c r="B3963" s="1" t="str">
        <f t="shared" si="297"/>
        <v>31084</v>
      </c>
      <c r="C3963" s="1" t="str">
        <f>"LITTLEROCK"</f>
        <v>LITTLEROCK</v>
      </c>
      <c r="D3963" s="1" t="str">
        <f t="shared" si="298"/>
        <v>CA</v>
      </c>
      <c r="E3963" s="2">
        <v>1</v>
      </c>
      <c r="F3963" s="2">
        <v>1</v>
      </c>
      <c r="G3963" s="2">
        <v>1</v>
      </c>
      <c r="H3963" s="2">
        <v>1</v>
      </c>
    </row>
    <row r="3964" spans="1:8" x14ac:dyDescent="0.25">
      <c r="A3964" s="1" t="str">
        <f>"91007"</f>
        <v>91007</v>
      </c>
      <c r="B3964" s="1" t="str">
        <f t="shared" si="297"/>
        <v>31084</v>
      </c>
      <c r="C3964" s="1" t="str">
        <f>"ARCADIA"</f>
        <v>ARCADIA</v>
      </c>
      <c r="D3964" s="1" t="str">
        <f t="shared" si="298"/>
        <v>CA</v>
      </c>
      <c r="E3964" s="2">
        <v>1</v>
      </c>
      <c r="F3964" s="2">
        <v>1</v>
      </c>
      <c r="G3964" s="2">
        <v>1</v>
      </c>
      <c r="H3964" s="2">
        <v>1</v>
      </c>
    </row>
    <row r="3965" spans="1:8" x14ac:dyDescent="0.25">
      <c r="A3965" s="1" t="str">
        <f>"92705"</f>
        <v>92705</v>
      </c>
      <c r="B3965" s="1" t="str">
        <f>"11244"</f>
        <v>11244</v>
      </c>
      <c r="C3965" s="1" t="str">
        <f>"SANTA ANA"</f>
        <v>SANTA ANA</v>
      </c>
      <c r="D3965" s="1" t="str">
        <f t="shared" si="298"/>
        <v>CA</v>
      </c>
      <c r="E3965" s="2">
        <v>1</v>
      </c>
      <c r="F3965" s="2">
        <v>1</v>
      </c>
      <c r="G3965" s="2">
        <v>1</v>
      </c>
      <c r="H3965" s="2">
        <v>1</v>
      </c>
    </row>
    <row r="3966" spans="1:8" x14ac:dyDescent="0.25">
      <c r="A3966" s="1" t="str">
        <f>"94070"</f>
        <v>94070</v>
      </c>
      <c r="B3966" s="1" t="str">
        <f>"41884"</f>
        <v>41884</v>
      </c>
      <c r="C3966" s="1" t="str">
        <f>"SAN CARLOS"</f>
        <v>SAN CARLOS</v>
      </c>
      <c r="D3966" s="1" t="str">
        <f t="shared" si="298"/>
        <v>CA</v>
      </c>
      <c r="E3966" s="2">
        <v>1</v>
      </c>
      <c r="F3966" s="2">
        <v>1</v>
      </c>
      <c r="G3966" s="2">
        <v>1</v>
      </c>
      <c r="H3966" s="2">
        <v>1</v>
      </c>
    </row>
    <row r="3967" spans="1:8" x14ac:dyDescent="0.25">
      <c r="A3967" s="1" t="str">
        <f>"92620"</f>
        <v>92620</v>
      </c>
      <c r="B3967" s="1" t="str">
        <f>"11244"</f>
        <v>11244</v>
      </c>
      <c r="C3967" s="1" t="str">
        <f>"IRVINE"</f>
        <v>IRVINE</v>
      </c>
      <c r="D3967" s="1" t="str">
        <f t="shared" si="298"/>
        <v>CA</v>
      </c>
      <c r="E3967" s="2">
        <v>1</v>
      </c>
      <c r="F3967" s="2">
        <v>1</v>
      </c>
      <c r="G3967" s="2">
        <v>1</v>
      </c>
      <c r="H3967" s="2">
        <v>1</v>
      </c>
    </row>
    <row r="3968" spans="1:8" x14ac:dyDescent="0.25">
      <c r="A3968" s="1" t="str">
        <f>"94544"</f>
        <v>94544</v>
      </c>
      <c r="B3968" s="1" t="str">
        <f>"36084"</f>
        <v>36084</v>
      </c>
      <c r="C3968" s="1" t="str">
        <f>"HAYWARD"</f>
        <v>HAYWARD</v>
      </c>
      <c r="D3968" s="1" t="str">
        <f t="shared" si="298"/>
        <v>CA</v>
      </c>
      <c r="E3968" s="2">
        <v>1</v>
      </c>
      <c r="F3968" s="2">
        <v>1</v>
      </c>
      <c r="G3968" s="2">
        <v>1</v>
      </c>
      <c r="H3968" s="2">
        <v>1</v>
      </c>
    </row>
    <row r="3969" spans="1:8" x14ac:dyDescent="0.25">
      <c r="A3969" s="1" t="str">
        <f>"94901"</f>
        <v>94901</v>
      </c>
      <c r="B3969" s="1" t="str">
        <f>"42034"</f>
        <v>42034</v>
      </c>
      <c r="C3969" s="1" t="str">
        <f>"SAN RAFAEL"</f>
        <v>SAN RAFAEL</v>
      </c>
      <c r="D3969" s="1" t="str">
        <f t="shared" si="298"/>
        <v>CA</v>
      </c>
      <c r="E3969" s="2">
        <v>1</v>
      </c>
      <c r="F3969" s="2">
        <v>1</v>
      </c>
      <c r="G3969" s="2">
        <v>1</v>
      </c>
      <c r="H3969" s="2">
        <v>1</v>
      </c>
    </row>
    <row r="3970" spans="1:8" x14ac:dyDescent="0.25">
      <c r="A3970" s="1" t="str">
        <f>"94802"</f>
        <v>94802</v>
      </c>
      <c r="B3970" s="1" t="str">
        <f>"36084"</f>
        <v>36084</v>
      </c>
      <c r="C3970" s="1" t="str">
        <f>"RICHMOND"</f>
        <v>RICHMOND</v>
      </c>
      <c r="D3970" s="1" t="str">
        <f t="shared" si="298"/>
        <v>CA</v>
      </c>
      <c r="E3970" s="2">
        <v>1</v>
      </c>
      <c r="F3970" s="2">
        <v>1</v>
      </c>
      <c r="G3970" s="2">
        <v>1</v>
      </c>
      <c r="H3970" s="2">
        <v>1</v>
      </c>
    </row>
    <row r="3971" spans="1:8" x14ac:dyDescent="0.25">
      <c r="A3971" s="1" t="str">
        <f>"94603"</f>
        <v>94603</v>
      </c>
      <c r="B3971" s="1" t="str">
        <f>"36084"</f>
        <v>36084</v>
      </c>
      <c r="C3971" s="1" t="str">
        <f>"OAKLAND"</f>
        <v>OAKLAND</v>
      </c>
      <c r="D3971" s="1" t="str">
        <f t="shared" si="298"/>
        <v>CA</v>
      </c>
      <c r="E3971" s="2">
        <v>1</v>
      </c>
      <c r="F3971" s="2">
        <v>1</v>
      </c>
      <c r="G3971" s="2">
        <v>1</v>
      </c>
      <c r="H3971" s="2">
        <v>1</v>
      </c>
    </row>
    <row r="3972" spans="1:8" x14ac:dyDescent="0.25">
      <c r="A3972" s="1" t="str">
        <f>"94606"</f>
        <v>94606</v>
      </c>
      <c r="B3972" s="1" t="str">
        <f>"36084"</f>
        <v>36084</v>
      </c>
      <c r="C3972" s="1" t="str">
        <f>"OAKLAND"</f>
        <v>OAKLAND</v>
      </c>
      <c r="D3972" s="1" t="str">
        <f t="shared" si="298"/>
        <v>CA</v>
      </c>
      <c r="E3972" s="2">
        <v>1</v>
      </c>
      <c r="F3972" s="2">
        <v>1</v>
      </c>
      <c r="G3972" s="2">
        <v>1</v>
      </c>
      <c r="H3972" s="2">
        <v>1</v>
      </c>
    </row>
    <row r="3973" spans="1:8" x14ac:dyDescent="0.25">
      <c r="A3973" s="1" t="str">
        <f>"94604"</f>
        <v>94604</v>
      </c>
      <c r="B3973" s="1" t="str">
        <f>"36084"</f>
        <v>36084</v>
      </c>
      <c r="C3973" s="1" t="str">
        <f>"OAKLAND"</f>
        <v>OAKLAND</v>
      </c>
      <c r="D3973" s="1" t="str">
        <f t="shared" si="298"/>
        <v>CA</v>
      </c>
      <c r="E3973" s="2">
        <v>1</v>
      </c>
      <c r="F3973" s="2">
        <v>1</v>
      </c>
      <c r="G3973" s="2">
        <v>1</v>
      </c>
      <c r="H3973" s="2">
        <v>1</v>
      </c>
    </row>
    <row r="3974" spans="1:8" x14ac:dyDescent="0.25">
      <c r="A3974" s="1" t="str">
        <f>"98019"</f>
        <v>98019</v>
      </c>
      <c r="B3974" s="1" t="str">
        <f t="shared" ref="B3974:B3979" si="299">"42644"</f>
        <v>42644</v>
      </c>
      <c r="C3974" s="1" t="str">
        <f>"DUVALL"</f>
        <v>DUVALL</v>
      </c>
      <c r="D3974" s="1" t="str">
        <f t="shared" ref="D3974:D3979" si="300">"WA"</f>
        <v>WA</v>
      </c>
      <c r="E3974" s="2">
        <v>1</v>
      </c>
      <c r="F3974" s="2">
        <v>1</v>
      </c>
      <c r="G3974" s="2">
        <v>1</v>
      </c>
      <c r="H3974" s="2">
        <v>1</v>
      </c>
    </row>
    <row r="3975" spans="1:8" x14ac:dyDescent="0.25">
      <c r="A3975" s="1" t="str">
        <f>"98029"</f>
        <v>98029</v>
      </c>
      <c r="B3975" s="1" t="str">
        <f t="shared" si="299"/>
        <v>42644</v>
      </c>
      <c r="C3975" s="1" t="str">
        <f>"ISSAQUAH"</f>
        <v>ISSAQUAH</v>
      </c>
      <c r="D3975" s="1" t="str">
        <f t="shared" si="300"/>
        <v>WA</v>
      </c>
      <c r="E3975" s="2">
        <v>1</v>
      </c>
      <c r="F3975" s="2">
        <v>1</v>
      </c>
      <c r="G3975" s="2">
        <v>1</v>
      </c>
      <c r="H3975" s="2">
        <v>1</v>
      </c>
    </row>
    <row r="3976" spans="1:8" x14ac:dyDescent="0.25">
      <c r="A3976" s="1" t="str">
        <f>"98041"</f>
        <v>98041</v>
      </c>
      <c r="B3976" s="1" t="str">
        <f t="shared" si="299"/>
        <v>42644</v>
      </c>
      <c r="C3976" s="1" t="str">
        <f>"BOTHELL"</f>
        <v>BOTHELL</v>
      </c>
      <c r="D3976" s="1" t="str">
        <f t="shared" si="300"/>
        <v>WA</v>
      </c>
      <c r="E3976" s="2">
        <v>1</v>
      </c>
      <c r="F3976" s="2">
        <v>1</v>
      </c>
      <c r="G3976" s="2">
        <v>1</v>
      </c>
      <c r="H3976" s="2">
        <v>1</v>
      </c>
    </row>
    <row r="3977" spans="1:8" x14ac:dyDescent="0.25">
      <c r="A3977" s="1" t="str">
        <f>"98174"</f>
        <v>98174</v>
      </c>
      <c r="B3977" s="1" t="str">
        <f t="shared" si="299"/>
        <v>42644</v>
      </c>
      <c r="C3977" s="1" t="str">
        <f>"SEATTLE"</f>
        <v>SEATTLE</v>
      </c>
      <c r="D3977" s="1" t="str">
        <f t="shared" si="300"/>
        <v>WA</v>
      </c>
      <c r="E3977" s="2">
        <v>0</v>
      </c>
      <c r="F3977" s="2">
        <v>1</v>
      </c>
      <c r="G3977" s="2">
        <v>1</v>
      </c>
      <c r="H3977" s="2">
        <v>1</v>
      </c>
    </row>
    <row r="3978" spans="1:8" x14ac:dyDescent="0.25">
      <c r="A3978" s="1" t="str">
        <f>"98198"</f>
        <v>98198</v>
      </c>
      <c r="B3978" s="1" t="str">
        <f t="shared" si="299"/>
        <v>42644</v>
      </c>
      <c r="C3978" s="1" t="str">
        <f>"SEATTLE"</f>
        <v>SEATTLE</v>
      </c>
      <c r="D3978" s="1" t="str">
        <f t="shared" si="300"/>
        <v>WA</v>
      </c>
      <c r="E3978" s="2">
        <v>1</v>
      </c>
      <c r="F3978" s="2">
        <v>1</v>
      </c>
      <c r="G3978" s="2">
        <v>1</v>
      </c>
      <c r="H3978" s="2">
        <v>1</v>
      </c>
    </row>
    <row r="3979" spans="1:8" x14ac:dyDescent="0.25">
      <c r="A3979" s="1" t="str">
        <f>"98106"</f>
        <v>98106</v>
      </c>
      <c r="B3979" s="1" t="str">
        <f t="shared" si="299"/>
        <v>42644</v>
      </c>
      <c r="C3979" s="1" t="str">
        <f>"SEATTLE"</f>
        <v>SEATTLE</v>
      </c>
      <c r="D3979" s="1" t="str">
        <f t="shared" si="300"/>
        <v>WA</v>
      </c>
      <c r="E3979" s="2">
        <v>1</v>
      </c>
      <c r="F3979" s="2">
        <v>1</v>
      </c>
      <c r="G3979" s="2">
        <v>1</v>
      </c>
      <c r="H3979" s="2">
        <v>1</v>
      </c>
    </row>
    <row r="3980" spans="1:8" x14ac:dyDescent="0.25">
      <c r="A3980" s="1" t="str">
        <f>"03871"</f>
        <v>03871</v>
      </c>
      <c r="B3980" s="1" t="str">
        <f>"40484"</f>
        <v>40484</v>
      </c>
      <c r="C3980" s="1" t="str">
        <f>"RYE BEACH"</f>
        <v>RYE BEACH</v>
      </c>
      <c r="D3980" s="1" t="str">
        <f>"NH"</f>
        <v>NH</v>
      </c>
      <c r="E3980" s="2">
        <v>1</v>
      </c>
      <c r="F3980" s="2">
        <v>1</v>
      </c>
      <c r="G3980" s="2">
        <v>1</v>
      </c>
      <c r="H3980" s="2">
        <v>1</v>
      </c>
    </row>
    <row r="3981" spans="1:8" x14ac:dyDescent="0.25">
      <c r="A3981" s="1" t="str">
        <f>"08887"</f>
        <v>08887</v>
      </c>
      <c r="B3981" s="1" t="str">
        <f>"35084"</f>
        <v>35084</v>
      </c>
      <c r="C3981" s="1" t="str">
        <f>"THREE BRIDGES"</f>
        <v>THREE BRIDGES</v>
      </c>
      <c r="D3981" s="1" t="str">
        <f>"NJ"</f>
        <v>NJ</v>
      </c>
      <c r="E3981" s="2">
        <v>1</v>
      </c>
      <c r="F3981" s="2">
        <v>1</v>
      </c>
      <c r="G3981" s="2">
        <v>1</v>
      </c>
      <c r="H3981" s="2">
        <v>1</v>
      </c>
    </row>
    <row r="3982" spans="1:8" x14ac:dyDescent="0.25">
      <c r="A3982" s="1" t="str">
        <f>"10702"</f>
        <v>10702</v>
      </c>
      <c r="B3982" s="1" t="str">
        <f>"35614"</f>
        <v>35614</v>
      </c>
      <c r="C3982" s="1" t="str">
        <f>"YONKERS"</f>
        <v>YONKERS</v>
      </c>
      <c r="D3982" s="1" t="str">
        <f>"NY"</f>
        <v>NY</v>
      </c>
      <c r="E3982" s="2">
        <v>1</v>
      </c>
      <c r="F3982" s="2">
        <v>1</v>
      </c>
      <c r="G3982" s="2">
        <v>1</v>
      </c>
      <c r="H3982" s="2">
        <v>1</v>
      </c>
    </row>
    <row r="3983" spans="1:8" x14ac:dyDescent="0.25">
      <c r="A3983" s="1" t="str">
        <f>"18041"</f>
        <v>18041</v>
      </c>
      <c r="B3983" s="1" t="str">
        <f>"33874"</f>
        <v>33874</v>
      </c>
      <c r="C3983" s="1" t="str">
        <f>"EAST GREENVILLE"</f>
        <v>EAST GREENVILLE</v>
      </c>
      <c r="D3983" s="1" t="str">
        <f>"PA"</f>
        <v>PA</v>
      </c>
      <c r="E3983" s="2">
        <v>1</v>
      </c>
      <c r="F3983" s="2">
        <v>1</v>
      </c>
      <c r="G3983" s="2">
        <v>1</v>
      </c>
      <c r="H3983" s="2">
        <v>1</v>
      </c>
    </row>
    <row r="3984" spans="1:8" x14ac:dyDescent="0.25">
      <c r="A3984" s="1" t="str">
        <f>"21791"</f>
        <v>21791</v>
      </c>
      <c r="B3984" s="1" t="str">
        <f>"23224"</f>
        <v>23224</v>
      </c>
      <c r="C3984" s="1" t="str">
        <f>"UNION BRIDGE"</f>
        <v>UNION BRIDGE</v>
      </c>
      <c r="D3984" s="1" t="str">
        <f>"MD"</f>
        <v>MD</v>
      </c>
      <c r="E3984" s="2">
        <v>1</v>
      </c>
      <c r="F3984" s="2">
        <v>1</v>
      </c>
      <c r="G3984" s="2">
        <v>1</v>
      </c>
      <c r="H3984" s="2">
        <v>1</v>
      </c>
    </row>
    <row r="3985" spans="1:8" x14ac:dyDescent="0.25">
      <c r="A3985" s="1" t="str">
        <f>"22534"</f>
        <v>22534</v>
      </c>
      <c r="B3985" s="1" t="str">
        <f>"47894"</f>
        <v>47894</v>
      </c>
      <c r="C3985" s="1" t="str">
        <f>"PARTLOW"</f>
        <v>PARTLOW</v>
      </c>
      <c r="D3985" s="1" t="str">
        <f>"VA"</f>
        <v>VA</v>
      </c>
      <c r="E3985" s="2">
        <v>1</v>
      </c>
      <c r="F3985" s="2">
        <v>1</v>
      </c>
      <c r="G3985" s="2">
        <v>1</v>
      </c>
      <c r="H3985" s="2">
        <v>1</v>
      </c>
    </row>
    <row r="3986" spans="1:8" x14ac:dyDescent="0.25">
      <c r="A3986" s="1" t="str">
        <f>"33081"</f>
        <v>33081</v>
      </c>
      <c r="B3986" s="1" t="str">
        <f>"22744"</f>
        <v>22744</v>
      </c>
      <c r="C3986" s="1" t="str">
        <f>"HOLLYWOOD"</f>
        <v>HOLLYWOOD</v>
      </c>
      <c r="D3986" s="1" t="str">
        <f>"FL"</f>
        <v>FL</v>
      </c>
      <c r="E3986" s="2">
        <v>1</v>
      </c>
      <c r="F3986" s="2">
        <v>1</v>
      </c>
      <c r="G3986" s="2">
        <v>1</v>
      </c>
      <c r="H3986" s="2">
        <v>1</v>
      </c>
    </row>
    <row r="3987" spans="1:8" x14ac:dyDescent="0.25">
      <c r="A3987" s="1" t="str">
        <f>"33257"</f>
        <v>33257</v>
      </c>
      <c r="B3987" s="1" t="str">
        <f>"33124"</f>
        <v>33124</v>
      </c>
      <c r="C3987" s="1" t="str">
        <f>"MIAMI"</f>
        <v>MIAMI</v>
      </c>
      <c r="D3987" s="1" t="str">
        <f>"FL"</f>
        <v>FL</v>
      </c>
      <c r="E3987" s="2">
        <v>1</v>
      </c>
      <c r="F3987" s="2">
        <v>1</v>
      </c>
      <c r="G3987" s="2">
        <v>1</v>
      </c>
      <c r="H3987" s="2">
        <v>1</v>
      </c>
    </row>
    <row r="3988" spans="1:8" x14ac:dyDescent="0.25">
      <c r="A3988" s="1" t="str">
        <f>"60699"</f>
        <v>60699</v>
      </c>
      <c r="B3988" s="1" t="str">
        <f>"16984"</f>
        <v>16984</v>
      </c>
      <c r="C3988" s="1" t="str">
        <f>"CHICAGO"</f>
        <v>CHICAGO</v>
      </c>
      <c r="D3988" s="1" t="str">
        <f>"IL"</f>
        <v>IL</v>
      </c>
      <c r="E3988" s="2">
        <v>0</v>
      </c>
      <c r="F3988" s="2">
        <v>1</v>
      </c>
      <c r="G3988" s="2">
        <v>1</v>
      </c>
      <c r="H3988" s="2">
        <v>1</v>
      </c>
    </row>
    <row r="3989" spans="1:8" x14ac:dyDescent="0.25">
      <c r="A3989" s="1" t="str">
        <f>"76124"</f>
        <v>76124</v>
      </c>
      <c r="B3989" s="1" t="str">
        <f>"23104"</f>
        <v>23104</v>
      </c>
      <c r="C3989" s="1" t="str">
        <f>"FORT WORTH"</f>
        <v>FORT WORTH</v>
      </c>
      <c r="D3989" s="1" t="str">
        <f>"TX"</f>
        <v>TX</v>
      </c>
      <c r="E3989" s="2">
        <v>1</v>
      </c>
      <c r="F3989" s="2">
        <v>1</v>
      </c>
      <c r="G3989" s="2">
        <v>1</v>
      </c>
      <c r="H3989" s="2">
        <v>1</v>
      </c>
    </row>
    <row r="3990" spans="1:8" x14ac:dyDescent="0.25">
      <c r="A3990" s="1" t="str">
        <f>"94956"</f>
        <v>94956</v>
      </c>
      <c r="B3990" s="1" t="str">
        <f>"42034"</f>
        <v>42034</v>
      </c>
      <c r="C3990" s="1" t="str">
        <f>"POINT REYES STATION"</f>
        <v>POINT REYES STATION</v>
      </c>
      <c r="D3990" s="1" t="str">
        <f>"CA"</f>
        <v>CA</v>
      </c>
      <c r="E3990" s="2">
        <v>1</v>
      </c>
      <c r="F3990" s="2">
        <v>1</v>
      </c>
      <c r="G3990" s="2">
        <v>1</v>
      </c>
      <c r="H3990" s="2">
        <v>1</v>
      </c>
    </row>
    <row r="3991" spans="1:8" x14ac:dyDescent="0.25">
      <c r="A3991" s="1" t="str">
        <f>"94807"</f>
        <v>94807</v>
      </c>
      <c r="B3991" s="1" t="str">
        <f>"36084"</f>
        <v>36084</v>
      </c>
      <c r="C3991" s="1" t="str">
        <f>"RICHMOND"</f>
        <v>RICHMOND</v>
      </c>
      <c r="D3991" s="1" t="str">
        <f>"CA"</f>
        <v>CA</v>
      </c>
      <c r="E3991" s="2">
        <v>1</v>
      </c>
      <c r="F3991" s="2">
        <v>1</v>
      </c>
      <c r="G3991" s="2">
        <v>1</v>
      </c>
      <c r="H3991" s="2">
        <v>1</v>
      </c>
    </row>
    <row r="3992" spans="1:8" x14ac:dyDescent="0.25">
      <c r="A3992" s="1" t="str">
        <f>"11548"</f>
        <v>11548</v>
      </c>
      <c r="B3992" s="1" t="str">
        <f>"35004"</f>
        <v>35004</v>
      </c>
      <c r="C3992" s="1" t="str">
        <f>"GREENVALE"</f>
        <v>GREENVALE</v>
      </c>
      <c r="D3992" s="1" t="str">
        <f>"NY"</f>
        <v>NY</v>
      </c>
      <c r="E3992" s="2">
        <v>1</v>
      </c>
      <c r="F3992" s="2">
        <v>1</v>
      </c>
      <c r="G3992" s="2">
        <v>1</v>
      </c>
      <c r="H3992" s="2">
        <v>1</v>
      </c>
    </row>
    <row r="3993" spans="1:8" x14ac:dyDescent="0.25">
      <c r="A3993" s="1" t="str">
        <f>"18326"</f>
        <v>18326</v>
      </c>
      <c r="B3993" s="1" t="str">
        <f>"35084"</f>
        <v>35084</v>
      </c>
      <c r="C3993" s="1" t="str">
        <f>"CRESCO"</f>
        <v>CRESCO</v>
      </c>
      <c r="D3993" s="1" t="str">
        <f>"PA"</f>
        <v>PA</v>
      </c>
      <c r="E3993" s="2">
        <v>1</v>
      </c>
      <c r="F3993" s="2">
        <v>1</v>
      </c>
      <c r="G3993" s="2">
        <v>0</v>
      </c>
      <c r="H3993" s="2">
        <v>1</v>
      </c>
    </row>
    <row r="3994" spans="1:8" x14ac:dyDescent="0.25">
      <c r="A3994" s="1" t="str">
        <f>"18371"</f>
        <v>18371</v>
      </c>
      <c r="B3994" s="1" t="str">
        <f>"35084"</f>
        <v>35084</v>
      </c>
      <c r="C3994" s="1" t="str">
        <f>"TAMIMENT"</f>
        <v>TAMIMENT</v>
      </c>
      <c r="D3994" s="1" t="str">
        <f>"PA"</f>
        <v>PA</v>
      </c>
      <c r="E3994" s="2">
        <v>1</v>
      </c>
      <c r="F3994" s="2">
        <v>1</v>
      </c>
      <c r="G3994" s="2">
        <v>1</v>
      </c>
      <c r="H3994" s="2">
        <v>1</v>
      </c>
    </row>
    <row r="3995" spans="1:8" x14ac:dyDescent="0.25">
      <c r="A3995" s="1" t="str">
        <f>"19474"</f>
        <v>19474</v>
      </c>
      <c r="B3995" s="1" t="str">
        <f>"33874"</f>
        <v>33874</v>
      </c>
      <c r="C3995" s="1" t="str">
        <f>"SKIPPACK"</f>
        <v>SKIPPACK</v>
      </c>
      <c r="D3995" s="1" t="str">
        <f>"PA"</f>
        <v>PA</v>
      </c>
      <c r="E3995" s="2">
        <v>1</v>
      </c>
      <c r="F3995" s="2">
        <v>1</v>
      </c>
      <c r="G3995" s="2">
        <v>1</v>
      </c>
      <c r="H3995" s="2">
        <v>1</v>
      </c>
    </row>
    <row r="3996" spans="1:8" x14ac:dyDescent="0.25">
      <c r="A3996" s="1" t="str">
        <f>"20768"</f>
        <v>20768</v>
      </c>
      <c r="B3996" s="1" t="str">
        <f>"47894"</f>
        <v>47894</v>
      </c>
      <c r="C3996" s="1" t="str">
        <f>"GREENBELT"</f>
        <v>GREENBELT</v>
      </c>
      <c r="D3996" s="1" t="str">
        <f>"MD"</f>
        <v>MD</v>
      </c>
      <c r="E3996" s="2">
        <v>1</v>
      </c>
      <c r="F3996" s="2">
        <v>1</v>
      </c>
      <c r="G3996" s="2">
        <v>1</v>
      </c>
      <c r="H3996" s="2">
        <v>1</v>
      </c>
    </row>
    <row r="3997" spans="1:8" x14ac:dyDescent="0.25">
      <c r="A3997" s="1" t="str">
        <f>"48069"</f>
        <v>48069</v>
      </c>
      <c r="B3997" s="1" t="str">
        <f>"47664"</f>
        <v>47664</v>
      </c>
      <c r="C3997" s="1" t="str">
        <f>"PLEASANT RIDGE"</f>
        <v>PLEASANT RIDGE</v>
      </c>
      <c r="D3997" s="1" t="str">
        <f>"MI"</f>
        <v>MI</v>
      </c>
      <c r="E3997" s="2">
        <v>1</v>
      </c>
      <c r="F3997" s="2">
        <v>1</v>
      </c>
      <c r="G3997" s="2">
        <v>1</v>
      </c>
      <c r="H3997" s="2">
        <v>1</v>
      </c>
    </row>
    <row r="3998" spans="1:8" x14ac:dyDescent="0.25">
      <c r="A3998" s="1" t="str">
        <f>"75452"</f>
        <v>75452</v>
      </c>
      <c r="B3998" s="1" t="str">
        <f>"19124"</f>
        <v>19124</v>
      </c>
      <c r="C3998" s="1" t="str">
        <f>"LEONARD"</f>
        <v>LEONARD</v>
      </c>
      <c r="D3998" s="1" t="str">
        <f>"TX"</f>
        <v>TX</v>
      </c>
      <c r="E3998" s="2">
        <v>1</v>
      </c>
      <c r="F3998" s="2">
        <v>1</v>
      </c>
      <c r="G3998" s="2">
        <v>1</v>
      </c>
      <c r="H3998" s="2">
        <v>1</v>
      </c>
    </row>
    <row r="3999" spans="1:8" x14ac:dyDescent="0.25">
      <c r="A3999" s="1" t="str">
        <f>"92397"</f>
        <v>92397</v>
      </c>
      <c r="B3999" s="1" t="str">
        <f>"31084"</f>
        <v>31084</v>
      </c>
      <c r="C3999" s="1" t="str">
        <f>"WRIGHTWOOD"</f>
        <v>WRIGHTWOOD</v>
      </c>
      <c r="D3999" s="1" t="str">
        <f>"CA"</f>
        <v>CA</v>
      </c>
      <c r="E3999" s="2">
        <v>1</v>
      </c>
      <c r="F3999" s="2">
        <v>0</v>
      </c>
      <c r="G3999" s="2">
        <v>0</v>
      </c>
      <c r="H3999" s="2">
        <v>1</v>
      </c>
    </row>
    <row r="4000" spans="1:8" x14ac:dyDescent="0.25">
      <c r="A4000" s="1" t="str">
        <f>"94952"</f>
        <v>94952</v>
      </c>
      <c r="B4000" s="1" t="str">
        <f>"42034"</f>
        <v>42034</v>
      </c>
      <c r="C4000" s="1" t="str">
        <f>"PETALUMA"</f>
        <v>PETALUMA</v>
      </c>
      <c r="D4000" s="1" t="str">
        <f>"CA"</f>
        <v>CA</v>
      </c>
      <c r="E4000" s="2">
        <v>1</v>
      </c>
      <c r="F4000" s="2">
        <v>1</v>
      </c>
      <c r="G4000" s="2">
        <v>1</v>
      </c>
      <c r="H4000" s="2">
        <v>1</v>
      </c>
    </row>
    <row r="4001" spans="1:8" x14ac:dyDescent="0.25">
      <c r="A4001" s="1" t="str">
        <f>"07428"</f>
        <v>07428</v>
      </c>
      <c r="B4001" s="1" t="str">
        <f>"35084"</f>
        <v>35084</v>
      </c>
      <c r="C4001" s="1" t="str">
        <f>"MC AFEE"</f>
        <v>MC AFEE</v>
      </c>
      <c r="D4001" s="1" t="str">
        <f>"NJ"</f>
        <v>NJ</v>
      </c>
      <c r="E4001" s="2">
        <v>1</v>
      </c>
      <c r="F4001" s="2">
        <v>1</v>
      </c>
      <c r="G4001" s="2">
        <v>1</v>
      </c>
      <c r="H4001" s="2">
        <v>1</v>
      </c>
    </row>
    <row r="4002" spans="1:8" x14ac:dyDescent="0.25">
      <c r="A4002" s="1" t="str">
        <f>"22402"</f>
        <v>22402</v>
      </c>
      <c r="B4002" s="1" t="str">
        <f>"47894"</f>
        <v>47894</v>
      </c>
      <c r="C4002" s="1" t="str">
        <f>"FREDERICKSBURG"</f>
        <v>FREDERICKSBURG</v>
      </c>
      <c r="D4002" s="1" t="str">
        <f>"VA"</f>
        <v>VA</v>
      </c>
      <c r="E4002" s="2">
        <v>1</v>
      </c>
      <c r="F4002" s="2">
        <v>1</v>
      </c>
      <c r="G4002" s="2">
        <v>1</v>
      </c>
      <c r="H4002" s="2">
        <v>1</v>
      </c>
    </row>
    <row r="4003" spans="1:8" x14ac:dyDescent="0.25">
      <c r="A4003" s="1" t="str">
        <f>"91412"</f>
        <v>91412</v>
      </c>
      <c r="B4003" s="1" t="str">
        <f>"31084"</f>
        <v>31084</v>
      </c>
      <c r="C4003" s="1" t="str">
        <f>"PANORAMA CITY"</f>
        <v>PANORAMA CITY</v>
      </c>
      <c r="D4003" s="1" t="str">
        <f>"CA"</f>
        <v>CA</v>
      </c>
      <c r="E4003" s="2">
        <v>1</v>
      </c>
      <c r="F4003" s="2">
        <v>1</v>
      </c>
      <c r="G4003" s="2">
        <v>1</v>
      </c>
      <c r="H4003" s="2">
        <v>1</v>
      </c>
    </row>
    <row r="4004" spans="1:8" x14ac:dyDescent="0.25">
      <c r="A4004" s="1" t="str">
        <f>"98127"</f>
        <v>98127</v>
      </c>
      <c r="B4004" s="1" t="str">
        <f>"42644"</f>
        <v>42644</v>
      </c>
      <c r="C4004" s="1" t="str">
        <f>"SEATTLE"</f>
        <v>SEATTLE</v>
      </c>
      <c r="D4004" s="1" t="str">
        <f>"WA"</f>
        <v>WA</v>
      </c>
      <c r="E4004" s="2">
        <v>1</v>
      </c>
      <c r="F4004" s="2">
        <v>1</v>
      </c>
      <c r="G4004" s="2">
        <v>1</v>
      </c>
      <c r="H4004" s="2">
        <v>1</v>
      </c>
    </row>
    <row r="4005" spans="1:8" x14ac:dyDescent="0.25">
      <c r="A4005" s="1" t="str">
        <f>"22226"</f>
        <v>22226</v>
      </c>
      <c r="B4005" s="1" t="str">
        <f>"47894"</f>
        <v>47894</v>
      </c>
      <c r="C4005" s="1" t="str">
        <f>"ARLINGTON"</f>
        <v>ARLINGTON</v>
      </c>
      <c r="D4005" s="1" t="str">
        <f>"VA"</f>
        <v>VA</v>
      </c>
      <c r="E4005" s="2">
        <v>0</v>
      </c>
      <c r="F4005" s="2">
        <v>1</v>
      </c>
      <c r="G4005" s="2">
        <v>0</v>
      </c>
      <c r="H4005" s="2">
        <v>1</v>
      </c>
    </row>
    <row r="4006" spans="1:8" x14ac:dyDescent="0.25">
      <c r="A4006" s="1" t="str">
        <f>"76196"</f>
        <v>76196</v>
      </c>
      <c r="B4006" s="1" t="str">
        <f>"23104"</f>
        <v>23104</v>
      </c>
      <c r="C4006" s="1" t="str">
        <f>"FORT WORTH"</f>
        <v>FORT WORTH</v>
      </c>
      <c r="D4006" s="1" t="str">
        <f>"TX"</f>
        <v>TX</v>
      </c>
      <c r="E4006" s="2">
        <v>0</v>
      </c>
      <c r="F4006" s="2">
        <v>1</v>
      </c>
      <c r="G4006" s="2">
        <v>0</v>
      </c>
      <c r="H4006" s="2">
        <v>1</v>
      </c>
    </row>
    <row r="4007" spans="1:8" x14ac:dyDescent="0.25">
      <c r="A4007" s="1" t="str">
        <f>"94021"</f>
        <v>94021</v>
      </c>
      <c r="B4007" s="1" t="str">
        <f>"41884"</f>
        <v>41884</v>
      </c>
      <c r="C4007" s="1" t="str">
        <f>"LOMA MAR"</f>
        <v>LOMA MAR</v>
      </c>
      <c r="D4007" s="1" t="str">
        <f>"CA"</f>
        <v>CA</v>
      </c>
      <c r="E4007" s="2">
        <v>1</v>
      </c>
      <c r="F4007" s="2">
        <v>1</v>
      </c>
      <c r="G4007" s="2">
        <v>1</v>
      </c>
      <c r="H4007" s="2">
        <v>1</v>
      </c>
    </row>
    <row r="4008" spans="1:8" x14ac:dyDescent="0.25">
      <c r="A4008" s="1" t="str">
        <f>"08739"</f>
        <v>08739</v>
      </c>
      <c r="B4008" s="1" t="str">
        <f>"35154"</f>
        <v>35154</v>
      </c>
      <c r="C4008" s="1" t="str">
        <f>"NORMANDY BEACH"</f>
        <v>NORMANDY BEACH</v>
      </c>
      <c r="D4008" s="1" t="str">
        <f>"NJ"</f>
        <v>NJ</v>
      </c>
      <c r="E4008" s="2">
        <v>1</v>
      </c>
      <c r="F4008" s="2">
        <v>1</v>
      </c>
      <c r="G4008" s="2">
        <v>1</v>
      </c>
      <c r="H4008" s="2">
        <v>1</v>
      </c>
    </row>
    <row r="4009" spans="1:8" x14ac:dyDescent="0.25">
      <c r="A4009" s="1" t="str">
        <f>"10167"</f>
        <v>10167</v>
      </c>
      <c r="B4009" s="1" t="str">
        <f>"35614"</f>
        <v>35614</v>
      </c>
      <c r="C4009" s="1" t="str">
        <f>"NEW YORK"</f>
        <v>NEW YORK</v>
      </c>
      <c r="D4009" s="1" t="str">
        <f>"NY"</f>
        <v>NY</v>
      </c>
      <c r="E4009" s="2">
        <v>0</v>
      </c>
      <c r="F4009" s="2">
        <v>1</v>
      </c>
      <c r="G4009" s="2">
        <v>1</v>
      </c>
      <c r="H4009" s="2">
        <v>1</v>
      </c>
    </row>
    <row r="4010" spans="1:8" x14ac:dyDescent="0.25">
      <c r="A4010" s="1" t="str">
        <f>"91322"</f>
        <v>91322</v>
      </c>
      <c r="B4010" s="1" t="str">
        <f>"31084"</f>
        <v>31084</v>
      </c>
      <c r="C4010" s="1" t="str">
        <f>"NEWHALL"</f>
        <v>NEWHALL</v>
      </c>
      <c r="D4010" s="1" t="str">
        <f>"CA"</f>
        <v>CA</v>
      </c>
      <c r="E4010" s="2">
        <v>1</v>
      </c>
      <c r="F4010" s="2">
        <v>1</v>
      </c>
      <c r="G4010" s="2">
        <v>0</v>
      </c>
      <c r="H4010" s="2">
        <v>1</v>
      </c>
    </row>
    <row r="4011" spans="1:8" x14ac:dyDescent="0.25">
      <c r="A4011" s="1" t="str">
        <f>"94026"</f>
        <v>94026</v>
      </c>
      <c r="B4011" s="1" t="str">
        <f>"41884"</f>
        <v>41884</v>
      </c>
      <c r="C4011" s="1" t="str">
        <f>"MENLO PARK"</f>
        <v>MENLO PARK</v>
      </c>
      <c r="D4011" s="1" t="str">
        <f>"CA"</f>
        <v>CA</v>
      </c>
      <c r="E4011" s="2">
        <v>1</v>
      </c>
      <c r="F4011" s="2">
        <v>1</v>
      </c>
      <c r="G4011" s="2">
        <v>1</v>
      </c>
      <c r="H4011" s="2">
        <v>1</v>
      </c>
    </row>
    <row r="4012" spans="1:8" x14ac:dyDescent="0.25">
      <c r="A4012" s="1" t="str">
        <f>"90083"</f>
        <v>90083</v>
      </c>
      <c r="B4012" s="1" t="str">
        <f>"31084"</f>
        <v>31084</v>
      </c>
      <c r="C4012" s="1" t="str">
        <f>"LOS ANGELES"</f>
        <v>LOS ANGELES</v>
      </c>
      <c r="D4012" s="1" t="str">
        <f>"CA"</f>
        <v>CA</v>
      </c>
      <c r="E4012" s="2">
        <v>1</v>
      </c>
      <c r="F4012" s="2">
        <v>1</v>
      </c>
      <c r="G4012" s="2">
        <v>1</v>
      </c>
      <c r="H4012" s="2">
        <v>1</v>
      </c>
    </row>
    <row r="4013" spans="1:8" x14ac:dyDescent="0.25">
      <c r="A4013" s="1" t="str">
        <f>"07890"</f>
        <v>07890</v>
      </c>
      <c r="B4013" s="1" t="str">
        <f>"35084"</f>
        <v>35084</v>
      </c>
      <c r="C4013" s="1" t="str">
        <f>"BRANCHVILLE"</f>
        <v>BRANCHVILLE</v>
      </c>
      <c r="D4013" s="1" t="str">
        <f>"NJ"</f>
        <v>NJ</v>
      </c>
      <c r="E4013" s="2">
        <v>0</v>
      </c>
      <c r="F4013" s="2">
        <v>1</v>
      </c>
      <c r="G4013" s="2">
        <v>0</v>
      </c>
      <c r="H4013" s="2">
        <v>1</v>
      </c>
    </row>
    <row r="4014" spans="1:8" x14ac:dyDescent="0.25">
      <c r="A4014" s="1" t="str">
        <f>"18933"</f>
        <v>18933</v>
      </c>
      <c r="B4014" s="1" t="str">
        <f>"33874"</f>
        <v>33874</v>
      </c>
      <c r="C4014" s="1" t="str">
        <f>"LUMBERVILLE"</f>
        <v>LUMBERVILLE</v>
      </c>
      <c r="D4014" s="1" t="str">
        <f>"PA"</f>
        <v>PA</v>
      </c>
      <c r="E4014" s="2">
        <v>1</v>
      </c>
      <c r="F4014" s="2">
        <v>1</v>
      </c>
      <c r="G4014" s="2">
        <v>1</v>
      </c>
      <c r="H4014" s="2">
        <v>1</v>
      </c>
    </row>
    <row r="4015" spans="1:8" x14ac:dyDescent="0.25">
      <c r="A4015" s="1" t="str">
        <f>"94570"</f>
        <v>94570</v>
      </c>
      <c r="B4015" s="1" t="str">
        <f>"36084"</f>
        <v>36084</v>
      </c>
      <c r="C4015" s="1" t="str">
        <f>"MORAGA"</f>
        <v>MORAGA</v>
      </c>
      <c r="D4015" s="1" t="str">
        <f>"CA"</f>
        <v>CA</v>
      </c>
      <c r="E4015" s="2">
        <v>1</v>
      </c>
      <c r="F4015" s="2">
        <v>1</v>
      </c>
      <c r="G4015" s="2">
        <v>1</v>
      </c>
      <c r="H4015" s="2">
        <v>1</v>
      </c>
    </row>
    <row r="4016" spans="1:8" x14ac:dyDescent="0.25">
      <c r="A4016" s="1" t="str">
        <f>"98395"</f>
        <v>98395</v>
      </c>
      <c r="B4016" s="1" t="str">
        <f>"45104"</f>
        <v>45104</v>
      </c>
      <c r="C4016" s="1" t="str">
        <f>"WAUNA"</f>
        <v>WAUNA</v>
      </c>
      <c r="D4016" s="1" t="str">
        <f>"WA"</f>
        <v>WA</v>
      </c>
      <c r="E4016" s="2">
        <v>1</v>
      </c>
      <c r="F4016" s="2">
        <v>1</v>
      </c>
      <c r="G4016" s="2">
        <v>1</v>
      </c>
      <c r="H4016" s="2">
        <v>1</v>
      </c>
    </row>
    <row r="4017" spans="1:8" x14ac:dyDescent="0.25">
      <c r="A4017" s="1" t="str">
        <f>"20506"</f>
        <v>20506</v>
      </c>
      <c r="B4017" s="1" t="str">
        <f>"47894"</f>
        <v>47894</v>
      </c>
      <c r="C4017" s="1" t="str">
        <f>"WASHINGTON"</f>
        <v>WASHINGTON</v>
      </c>
      <c r="D4017" s="1" t="str">
        <f>"DC"</f>
        <v>DC</v>
      </c>
      <c r="E4017" s="2">
        <v>0</v>
      </c>
      <c r="F4017" s="2">
        <v>1</v>
      </c>
      <c r="G4017" s="2">
        <v>0</v>
      </c>
      <c r="H4017" s="2">
        <v>1</v>
      </c>
    </row>
    <row r="4018" spans="1:8" x14ac:dyDescent="0.25">
      <c r="A4018" s="1" t="str">
        <f>"11599"</f>
        <v>11599</v>
      </c>
      <c r="B4018" s="1" t="str">
        <f>"35004"</f>
        <v>35004</v>
      </c>
      <c r="C4018" s="1" t="str">
        <f>"GARDEN CITY"</f>
        <v>GARDEN CITY</v>
      </c>
      <c r="D4018" s="1" t="str">
        <f>"NY"</f>
        <v>NY</v>
      </c>
      <c r="E4018" s="2">
        <v>0</v>
      </c>
      <c r="F4018" s="2">
        <v>1</v>
      </c>
      <c r="G4018" s="2">
        <v>0</v>
      </c>
      <c r="H4018" s="2">
        <v>1</v>
      </c>
    </row>
    <row r="4019" spans="1:8" x14ac:dyDescent="0.25">
      <c r="A4019" s="1" t="str">
        <f>"76129"</f>
        <v>76129</v>
      </c>
      <c r="B4019" s="1" t="str">
        <f>"23104"</f>
        <v>23104</v>
      </c>
      <c r="C4019" s="1" t="str">
        <f>"FORT WORTH"</f>
        <v>FORT WORTH</v>
      </c>
      <c r="D4019" s="1" t="str">
        <f>"TX"</f>
        <v>TX</v>
      </c>
      <c r="E4019" s="2">
        <v>0</v>
      </c>
      <c r="F4019" s="2">
        <v>1</v>
      </c>
      <c r="G4019" s="2">
        <v>1</v>
      </c>
      <c r="H4019" s="2">
        <v>1</v>
      </c>
    </row>
    <row r="4020" spans="1:8" x14ac:dyDescent="0.25">
      <c r="A4020" s="1" t="str">
        <f>"19346"</f>
        <v>19346</v>
      </c>
      <c r="B4020" s="1" t="str">
        <f>"33874"</f>
        <v>33874</v>
      </c>
      <c r="C4020" s="1" t="str">
        <f>"KELTON"</f>
        <v>KELTON</v>
      </c>
      <c r="D4020" s="1" t="str">
        <f>"PA"</f>
        <v>PA</v>
      </c>
      <c r="E4020" s="2">
        <v>0</v>
      </c>
      <c r="F4020" s="2">
        <v>0</v>
      </c>
      <c r="G4020" s="2">
        <v>1</v>
      </c>
      <c r="H4020" s="2">
        <v>1</v>
      </c>
    </row>
    <row r="4021" spans="1:8" x14ac:dyDescent="0.25">
      <c r="A4021" s="1" t="str">
        <f>"91523"</f>
        <v>91523</v>
      </c>
      <c r="B4021" s="1" t="str">
        <f>"31084"</f>
        <v>31084</v>
      </c>
      <c r="C4021" s="1" t="str">
        <f>"BURBANK"</f>
        <v>BURBANK</v>
      </c>
      <c r="D4021" s="1" t="str">
        <f>"CA"</f>
        <v>CA</v>
      </c>
      <c r="E4021" s="2">
        <v>0</v>
      </c>
      <c r="F4021" s="2">
        <v>1</v>
      </c>
      <c r="G4021" s="2">
        <v>0</v>
      </c>
      <c r="H4021" s="2">
        <v>1</v>
      </c>
    </row>
    <row r="4022" spans="1:8" x14ac:dyDescent="0.25">
      <c r="A4022" s="1" t="str">
        <f>"90661"</f>
        <v>90661</v>
      </c>
      <c r="B4022" s="1" t="str">
        <f>"31084"</f>
        <v>31084</v>
      </c>
      <c r="C4022" s="1" t="str">
        <f>"PICO RIVERA"</f>
        <v>PICO RIVERA</v>
      </c>
      <c r="D4022" s="1" t="str">
        <f>"CA"</f>
        <v>CA</v>
      </c>
      <c r="E4022" s="2">
        <v>0</v>
      </c>
      <c r="F4022" s="2">
        <v>0</v>
      </c>
      <c r="G4022" s="2">
        <v>1</v>
      </c>
      <c r="H4022" s="2">
        <v>1</v>
      </c>
    </row>
    <row r="4023" spans="1:8" x14ac:dyDescent="0.25">
      <c r="A4023" s="1" t="str">
        <f>"46393"</f>
        <v>46393</v>
      </c>
      <c r="B4023" s="1" t="str">
        <f>"23844"</f>
        <v>23844</v>
      </c>
      <c r="C4023" s="1" t="str">
        <f>"WHEELER"</f>
        <v>WHEELER</v>
      </c>
      <c r="D4023" s="1" t="str">
        <f>"IN"</f>
        <v>IN</v>
      </c>
      <c r="E4023" s="2">
        <v>1</v>
      </c>
      <c r="F4023" s="2">
        <v>0</v>
      </c>
      <c r="G4023" s="2">
        <v>1</v>
      </c>
      <c r="H4023" s="2">
        <v>1</v>
      </c>
    </row>
    <row r="4024" spans="1:8" x14ac:dyDescent="0.25">
      <c r="A4024" s="1" t="str">
        <f>"94964"</f>
        <v>94964</v>
      </c>
      <c r="B4024" s="1" t="str">
        <f>"42034"</f>
        <v>42034</v>
      </c>
      <c r="C4024" s="1" t="str">
        <f>"SAN QUENTIN"</f>
        <v>SAN QUENTIN</v>
      </c>
      <c r="D4024" s="1" t="str">
        <f>"CA"</f>
        <v>CA</v>
      </c>
      <c r="E4024" s="2">
        <v>0</v>
      </c>
      <c r="F4024" s="2">
        <v>1</v>
      </c>
      <c r="G4024" s="2">
        <v>0</v>
      </c>
      <c r="H4024" s="2">
        <v>1</v>
      </c>
    </row>
    <row r="4025" spans="1:8" x14ac:dyDescent="0.25">
      <c r="A4025" s="1" t="str">
        <f>"20565"</f>
        <v>20565</v>
      </c>
      <c r="B4025" s="1" t="str">
        <f>"47894"</f>
        <v>47894</v>
      </c>
      <c r="C4025" s="1" t="str">
        <f>"WASHINGTON"</f>
        <v>WASHINGTON</v>
      </c>
      <c r="D4025" s="1" t="str">
        <f>"DC"</f>
        <v>DC</v>
      </c>
      <c r="E4025" s="2">
        <v>0</v>
      </c>
      <c r="F4025" s="2">
        <v>1</v>
      </c>
      <c r="G4025" s="2">
        <v>0</v>
      </c>
      <c r="H4025" s="2">
        <v>1</v>
      </c>
    </row>
    <row r="4026" spans="1:8" x14ac:dyDescent="0.25">
      <c r="A4026" s="1" t="str">
        <f>"60147"</f>
        <v>60147</v>
      </c>
      <c r="B4026" s="1" t="str">
        <f>"20994"</f>
        <v>20994</v>
      </c>
      <c r="C4026" s="1" t="str">
        <f>"LAFOX"</f>
        <v>LAFOX</v>
      </c>
      <c r="D4026" s="1" t="str">
        <f>"IL"</f>
        <v>IL</v>
      </c>
      <c r="E4026" s="2">
        <v>1</v>
      </c>
      <c r="F4026" s="2">
        <v>0</v>
      </c>
      <c r="G4026" s="2">
        <v>1</v>
      </c>
      <c r="H4026" s="2">
        <v>1</v>
      </c>
    </row>
    <row r="4027" spans="1:8" x14ac:dyDescent="0.25">
      <c r="A4027" s="1" t="str">
        <f>"20213"</f>
        <v>20213</v>
      </c>
      <c r="B4027" s="1" t="str">
        <f>"47894"</f>
        <v>47894</v>
      </c>
      <c r="C4027" s="1" t="str">
        <f>"WASHINGTON"</f>
        <v>WASHINGTON</v>
      </c>
      <c r="D4027" s="1" t="str">
        <f>"DC"</f>
        <v>DC</v>
      </c>
      <c r="E4027" s="2">
        <v>0</v>
      </c>
      <c r="F4027" s="2">
        <v>1</v>
      </c>
      <c r="G4027" s="2">
        <v>0</v>
      </c>
      <c r="H4027" s="2">
        <v>1</v>
      </c>
    </row>
    <row r="4028" spans="1:8" x14ac:dyDescent="0.25">
      <c r="A4028" s="1" t="str">
        <f>"20661"</f>
        <v>20661</v>
      </c>
      <c r="B4028" s="1" t="str">
        <f>"47894"</f>
        <v>47894</v>
      </c>
      <c r="C4028" s="1" t="str">
        <f>"MOUNT VICTORIA"</f>
        <v>MOUNT VICTORIA</v>
      </c>
      <c r="D4028" s="1" t="str">
        <f>"MD"</f>
        <v>MD</v>
      </c>
      <c r="E4028" s="2">
        <v>0</v>
      </c>
      <c r="F4028" s="2">
        <v>0</v>
      </c>
      <c r="G4028" s="2">
        <v>1</v>
      </c>
      <c r="H4028" s="2">
        <v>1</v>
      </c>
    </row>
    <row r="4029" spans="1:8" x14ac:dyDescent="0.25">
      <c r="A4029" s="1" t="str">
        <f>"07845"</f>
        <v>07845</v>
      </c>
      <c r="B4029" s="1" t="str">
        <f>"35084"</f>
        <v>35084</v>
      </c>
      <c r="C4029" s="1" t="str">
        <f>"IRONIA"</f>
        <v>IRONIA</v>
      </c>
      <c r="D4029" s="1" t="str">
        <f>"NJ"</f>
        <v>NJ</v>
      </c>
      <c r="E4029" s="2">
        <v>0</v>
      </c>
      <c r="F4029" s="2">
        <v>0</v>
      </c>
      <c r="G4029" s="2">
        <v>1</v>
      </c>
      <c r="H4029" s="2">
        <v>1</v>
      </c>
    </row>
    <row r="4030" spans="1:8" x14ac:dyDescent="0.25">
      <c r="A4030" s="1" t="str">
        <f>"20428"</f>
        <v>20428</v>
      </c>
      <c r="B4030" s="1" t="str">
        <f>"47894"</f>
        <v>47894</v>
      </c>
      <c r="C4030" s="1" t="str">
        <f>"WASHINGTON"</f>
        <v>WASHINGTON</v>
      </c>
      <c r="D4030" s="1" t="str">
        <f>"DC"</f>
        <v>DC</v>
      </c>
      <c r="E4030" s="2">
        <v>0</v>
      </c>
      <c r="F4030" s="2">
        <v>1</v>
      </c>
      <c r="G4030" s="2">
        <v>0</v>
      </c>
      <c r="H4030" s="2">
        <v>1</v>
      </c>
    </row>
    <row r="4031" spans="1:8" x14ac:dyDescent="0.25">
      <c r="A4031" s="1" t="str">
        <f>"91470"</f>
        <v>91470</v>
      </c>
      <c r="B4031" s="1" t="str">
        <f>"31084"</f>
        <v>31084</v>
      </c>
      <c r="C4031" s="1" t="str">
        <f>"VAN NUYS"</f>
        <v>VAN NUYS</v>
      </c>
      <c r="D4031" s="1" t="str">
        <f>"CA"</f>
        <v>CA</v>
      </c>
      <c r="E4031" s="2">
        <v>0</v>
      </c>
      <c r="F4031" s="2">
        <v>1</v>
      </c>
      <c r="G4031" s="2">
        <v>0</v>
      </c>
      <c r="H4031" s="2">
        <v>1</v>
      </c>
    </row>
    <row r="4032" spans="1:8" x14ac:dyDescent="0.25">
      <c r="A4032" s="1" t="str">
        <f>"20192"</f>
        <v>20192</v>
      </c>
      <c r="B4032" s="1" t="str">
        <f>"47894"</f>
        <v>47894</v>
      </c>
      <c r="C4032" s="1" t="str">
        <f>"HERNDON"</f>
        <v>HERNDON</v>
      </c>
      <c r="D4032" s="1" t="str">
        <f>"VA"</f>
        <v>VA</v>
      </c>
      <c r="E4032" s="2">
        <v>0</v>
      </c>
      <c r="F4032" s="2">
        <v>1</v>
      </c>
      <c r="G4032" s="2">
        <v>0</v>
      </c>
      <c r="H4032" s="2">
        <v>1</v>
      </c>
    </row>
    <row r="4033" spans="1:8" x14ac:dyDescent="0.25">
      <c r="A4033" s="1" t="str">
        <f>"20222"</f>
        <v>20222</v>
      </c>
      <c r="B4033" s="1" t="str">
        <f>"47894"</f>
        <v>47894</v>
      </c>
      <c r="C4033" s="1" t="str">
        <f>"WASHINGTON"</f>
        <v>WASHINGTON</v>
      </c>
      <c r="D4033" s="1" t="str">
        <f>"DC"</f>
        <v>DC</v>
      </c>
      <c r="E4033" s="2">
        <v>0</v>
      </c>
      <c r="F4033" s="2">
        <v>1</v>
      </c>
      <c r="G4033" s="2">
        <v>0</v>
      </c>
      <c r="H4033" s="2">
        <v>1</v>
      </c>
    </row>
    <row r="4034" spans="1:8" x14ac:dyDescent="0.25">
      <c r="A4034" s="1" t="str">
        <f>"25441"</f>
        <v>25441</v>
      </c>
      <c r="B4034" s="1" t="str">
        <f>"47894"</f>
        <v>47894</v>
      </c>
      <c r="C4034" s="1" t="str">
        <f>"RIPPON"</f>
        <v>RIPPON</v>
      </c>
      <c r="D4034" s="1" t="str">
        <f>"WV"</f>
        <v>WV</v>
      </c>
      <c r="E4034" s="2">
        <v>0</v>
      </c>
      <c r="F4034" s="2">
        <v>0</v>
      </c>
      <c r="G4034" s="2">
        <v>1</v>
      </c>
      <c r="H4034" s="2">
        <v>1</v>
      </c>
    </row>
    <row r="4035" spans="1:8" x14ac:dyDescent="0.25">
      <c r="A4035" s="1" t="str">
        <f>"20218"</f>
        <v>20218</v>
      </c>
      <c r="B4035" s="1" t="str">
        <f>"47894"</f>
        <v>47894</v>
      </c>
      <c r="C4035" s="1" t="str">
        <f>"WASHINGTON"</f>
        <v>WASHINGTON</v>
      </c>
      <c r="D4035" s="1" t="str">
        <f>"DC"</f>
        <v>DC</v>
      </c>
      <c r="E4035" s="2">
        <v>0</v>
      </c>
      <c r="F4035" s="2">
        <v>1</v>
      </c>
      <c r="G4035" s="2">
        <v>0</v>
      </c>
      <c r="H4035" s="2">
        <v>1</v>
      </c>
    </row>
    <row r="4036" spans="1:8" x14ac:dyDescent="0.25">
      <c r="A4036" s="1" t="str">
        <f>"11437"</f>
        <v>11437</v>
      </c>
      <c r="B4036" s="1" t="str">
        <f>"35614"</f>
        <v>35614</v>
      </c>
      <c r="C4036" s="1" t="str">
        <f>"JAMAICA"</f>
        <v>JAMAICA</v>
      </c>
      <c r="D4036" s="1" t="str">
        <f>"NY"</f>
        <v>NY</v>
      </c>
      <c r="E4036" s="2">
        <v>0</v>
      </c>
      <c r="F4036" s="2">
        <v>1</v>
      </c>
      <c r="G4036" s="2">
        <v>0</v>
      </c>
      <c r="H4036" s="2">
        <v>1</v>
      </c>
    </row>
    <row r="4037" spans="1:8" x14ac:dyDescent="0.25">
      <c r="A4037" s="1" t="str">
        <f>"18956"</f>
        <v>18956</v>
      </c>
      <c r="B4037" s="1" t="str">
        <f>"33874"</f>
        <v>33874</v>
      </c>
      <c r="C4037" s="1" t="str">
        <f>"RUSHLAND"</f>
        <v>RUSHLAND</v>
      </c>
      <c r="D4037" s="1" t="str">
        <f>"PA"</f>
        <v>PA</v>
      </c>
      <c r="E4037" s="2">
        <v>0</v>
      </c>
      <c r="F4037" s="2">
        <v>0</v>
      </c>
      <c r="G4037" s="2">
        <v>1</v>
      </c>
      <c r="H4037" s="2">
        <v>1</v>
      </c>
    </row>
    <row r="4038" spans="1:8" x14ac:dyDescent="0.25">
      <c r="A4038" s="1" t="str">
        <f>"20063"</f>
        <v>20063</v>
      </c>
      <c r="B4038" s="1" t="str">
        <f>"47894"</f>
        <v>47894</v>
      </c>
      <c r="C4038" s="1" t="str">
        <f>"WASHINGTON"</f>
        <v>WASHINGTON</v>
      </c>
      <c r="D4038" s="1" t="str">
        <f>"DC"</f>
        <v>DC</v>
      </c>
      <c r="E4038" s="2">
        <v>0</v>
      </c>
      <c r="F4038" s="2">
        <v>1</v>
      </c>
      <c r="G4038" s="2">
        <v>0</v>
      </c>
      <c r="H4038" s="2">
        <v>1</v>
      </c>
    </row>
    <row r="4039" spans="1:8" x14ac:dyDescent="0.25">
      <c r="A4039" s="1" t="str">
        <f>"20103"</f>
        <v>20103</v>
      </c>
      <c r="B4039" s="1" t="str">
        <f>"47894"</f>
        <v>47894</v>
      </c>
      <c r="C4039" s="1" t="str">
        <f>"DULLES"</f>
        <v>DULLES</v>
      </c>
      <c r="D4039" s="1" t="str">
        <f>"VA"</f>
        <v>VA</v>
      </c>
      <c r="E4039" s="2">
        <v>0</v>
      </c>
      <c r="F4039" s="2">
        <v>0</v>
      </c>
      <c r="G4039" s="2">
        <v>1</v>
      </c>
      <c r="H4039" s="2">
        <v>1</v>
      </c>
    </row>
    <row r="4040" spans="1:8" x14ac:dyDescent="0.25">
      <c r="A4040" s="1" t="str">
        <f>"20380"</f>
        <v>20380</v>
      </c>
      <c r="B4040" s="1" t="str">
        <f>"47894"</f>
        <v>47894</v>
      </c>
      <c r="C4040" s="1" t="str">
        <f>"WASHINGTON"</f>
        <v>WASHINGTON</v>
      </c>
      <c r="D4040" s="1" t="str">
        <f>"DC"</f>
        <v>DC</v>
      </c>
      <c r="E4040" s="2">
        <v>0</v>
      </c>
      <c r="F4040" s="2">
        <v>1</v>
      </c>
      <c r="G4040" s="2">
        <v>1</v>
      </c>
      <c r="H4040" s="2">
        <v>1</v>
      </c>
    </row>
    <row r="4041" spans="1:8" x14ac:dyDescent="0.25">
      <c r="A4041" s="1" t="str">
        <f>"88888"</f>
        <v>88888</v>
      </c>
      <c r="B4041" s="1" t="str">
        <f>"47894"</f>
        <v>47894</v>
      </c>
      <c r="C4041" s="1" t="str">
        <f>"NORTH POLE"</f>
        <v>NORTH POLE</v>
      </c>
      <c r="D4041" s="1" t="str">
        <f>"DC"</f>
        <v>DC</v>
      </c>
      <c r="E4041" s="2">
        <v>1</v>
      </c>
      <c r="F4041" s="2">
        <v>0</v>
      </c>
      <c r="G4041" s="2">
        <v>0</v>
      </c>
      <c r="H4041" s="2">
        <v>1</v>
      </c>
    </row>
    <row r="4042" spans="1:8" x14ac:dyDescent="0.25">
      <c r="A4042" s="1" t="str">
        <f>"60144"</f>
        <v>60144</v>
      </c>
      <c r="B4042" s="1" t="str">
        <f>"20994"</f>
        <v>20994</v>
      </c>
      <c r="C4042" s="1" t="str">
        <f>"KANEVILLE"</f>
        <v>KANEVILLE</v>
      </c>
      <c r="D4042" s="1" t="str">
        <f>"IL"</f>
        <v>IL</v>
      </c>
      <c r="E4042" s="2">
        <v>0</v>
      </c>
      <c r="F4042" s="2">
        <v>0</v>
      </c>
      <c r="G4042" s="2">
        <v>1</v>
      </c>
      <c r="H4042" s="2">
        <v>1</v>
      </c>
    </row>
    <row r="4043" spans="1:8" x14ac:dyDescent="0.25">
      <c r="A4043" s="1" t="str">
        <f>"76267"</f>
        <v>76267</v>
      </c>
      <c r="B4043" s="1" t="str">
        <f>"23104"</f>
        <v>23104</v>
      </c>
      <c r="C4043" s="1" t="str">
        <f>"SLIDELL"</f>
        <v>SLIDELL</v>
      </c>
      <c r="D4043" s="1" t="str">
        <f>"TX"</f>
        <v>TX</v>
      </c>
      <c r="E4043" s="2">
        <v>0</v>
      </c>
      <c r="F4043" s="2">
        <v>0</v>
      </c>
      <c r="G4043" s="2">
        <v>1</v>
      </c>
      <c r="H4043" s="2">
        <v>1</v>
      </c>
    </row>
    <row r="4044" spans="1:8" x14ac:dyDescent="0.25">
      <c r="A4044" s="1" t="str">
        <f>"01853"</f>
        <v>01853</v>
      </c>
      <c r="B4044" s="1" t="str">
        <f>"15764"</f>
        <v>15764</v>
      </c>
      <c r="C4044" s="1" t="str">
        <f>"LOWELL"</f>
        <v>LOWELL</v>
      </c>
      <c r="D4044" s="1" t="str">
        <f>"MA"</f>
        <v>MA</v>
      </c>
      <c r="E4044" s="2">
        <v>1</v>
      </c>
      <c r="F4044" s="2">
        <v>1</v>
      </c>
      <c r="G4044" s="2">
        <v>1</v>
      </c>
      <c r="H4044" s="2">
        <v>1</v>
      </c>
    </row>
    <row r="4045" spans="1:8" x14ac:dyDescent="0.25">
      <c r="A4045" s="1" t="str">
        <f>"01905"</f>
        <v>01905</v>
      </c>
      <c r="B4045" s="1" t="str">
        <f>"15764"</f>
        <v>15764</v>
      </c>
      <c r="C4045" s="1" t="str">
        <f>"LYNN"</f>
        <v>LYNN</v>
      </c>
      <c r="D4045" s="1" t="str">
        <f>"MA"</f>
        <v>MA</v>
      </c>
      <c r="E4045" s="2">
        <v>1</v>
      </c>
      <c r="F4045" s="2">
        <v>1</v>
      </c>
      <c r="G4045" s="2">
        <v>1</v>
      </c>
      <c r="H4045" s="2">
        <v>1</v>
      </c>
    </row>
    <row r="4046" spans="1:8" x14ac:dyDescent="0.25">
      <c r="A4046" s="1" t="str">
        <f>"01940"</f>
        <v>01940</v>
      </c>
      <c r="B4046" s="1" t="str">
        <f>"15764"</f>
        <v>15764</v>
      </c>
      <c r="C4046" s="1" t="str">
        <f>"LYNNFIELD"</f>
        <v>LYNNFIELD</v>
      </c>
      <c r="D4046" s="1" t="str">
        <f>"MA"</f>
        <v>MA</v>
      </c>
      <c r="E4046" s="2">
        <v>1</v>
      </c>
      <c r="F4046" s="2">
        <v>1</v>
      </c>
      <c r="G4046" s="2">
        <v>1</v>
      </c>
      <c r="H4046" s="2">
        <v>1</v>
      </c>
    </row>
    <row r="4047" spans="1:8" x14ac:dyDescent="0.25">
      <c r="A4047" s="1" t="str">
        <f>"01983"</f>
        <v>01983</v>
      </c>
      <c r="B4047" s="1" t="str">
        <f>"15764"</f>
        <v>15764</v>
      </c>
      <c r="C4047" s="1" t="str">
        <f>"TOPSFIELD"</f>
        <v>TOPSFIELD</v>
      </c>
      <c r="D4047" s="1" t="str">
        <f>"MA"</f>
        <v>MA</v>
      </c>
      <c r="E4047" s="2">
        <v>1</v>
      </c>
      <c r="F4047" s="2">
        <v>1</v>
      </c>
      <c r="G4047" s="2">
        <v>1</v>
      </c>
      <c r="H4047" s="2">
        <v>1</v>
      </c>
    </row>
    <row r="4048" spans="1:8" x14ac:dyDescent="0.25">
      <c r="A4048" s="1" t="str">
        <f>"02330"</f>
        <v>02330</v>
      </c>
      <c r="B4048" s="1" t="str">
        <f>"14454"</f>
        <v>14454</v>
      </c>
      <c r="C4048" s="1" t="str">
        <f>"CARVER"</f>
        <v>CARVER</v>
      </c>
      <c r="D4048" s="1" t="str">
        <f>"MA"</f>
        <v>MA</v>
      </c>
      <c r="E4048" s="2">
        <v>1</v>
      </c>
      <c r="F4048" s="2">
        <v>1</v>
      </c>
      <c r="G4048" s="2">
        <v>1</v>
      </c>
      <c r="H4048" s="2">
        <v>1</v>
      </c>
    </row>
    <row r="4049" spans="1:8" x14ac:dyDescent="0.25">
      <c r="A4049" s="1" t="str">
        <f>"03851"</f>
        <v>03851</v>
      </c>
      <c r="B4049" s="1" t="str">
        <f>"40484"</f>
        <v>40484</v>
      </c>
      <c r="C4049" s="1" t="str">
        <f>"MILTON"</f>
        <v>MILTON</v>
      </c>
      <c r="D4049" s="1" t="str">
        <f>"NH"</f>
        <v>NH</v>
      </c>
      <c r="E4049" s="2">
        <v>1</v>
      </c>
      <c r="F4049" s="2">
        <v>1</v>
      </c>
      <c r="G4049" s="2">
        <v>1</v>
      </c>
      <c r="H4049" s="2">
        <v>1</v>
      </c>
    </row>
    <row r="4050" spans="1:8" x14ac:dyDescent="0.25">
      <c r="A4050" s="1" t="str">
        <f>"03857"</f>
        <v>03857</v>
      </c>
      <c r="B4050" s="1" t="str">
        <f>"40484"</f>
        <v>40484</v>
      </c>
      <c r="C4050" s="1" t="str">
        <f>"NEWMARKET"</f>
        <v>NEWMARKET</v>
      </c>
      <c r="D4050" s="1" t="str">
        <f>"NH"</f>
        <v>NH</v>
      </c>
      <c r="E4050" s="2">
        <v>1</v>
      </c>
      <c r="F4050" s="2">
        <v>1</v>
      </c>
      <c r="G4050" s="2">
        <v>1</v>
      </c>
      <c r="H4050" s="2">
        <v>1</v>
      </c>
    </row>
    <row r="4051" spans="1:8" x14ac:dyDescent="0.25">
      <c r="A4051" s="1" t="str">
        <f>"07029"</f>
        <v>07029</v>
      </c>
      <c r="B4051" s="1" t="str">
        <f>"35614"</f>
        <v>35614</v>
      </c>
      <c r="C4051" s="1" t="str">
        <f>"HARRISON"</f>
        <v>HARRISON</v>
      </c>
      <c r="D4051" s="1" t="str">
        <f t="shared" ref="D4051:D4058" si="301">"NJ"</f>
        <v>NJ</v>
      </c>
      <c r="E4051" s="2">
        <v>1</v>
      </c>
      <c r="F4051" s="2">
        <v>1</v>
      </c>
      <c r="G4051" s="2">
        <v>1</v>
      </c>
      <c r="H4051" s="2">
        <v>1</v>
      </c>
    </row>
    <row r="4052" spans="1:8" x14ac:dyDescent="0.25">
      <c r="A4052" s="1" t="str">
        <f>"07430"</f>
        <v>07430</v>
      </c>
      <c r="B4052" s="1" t="str">
        <f>"35614"</f>
        <v>35614</v>
      </c>
      <c r="C4052" s="1" t="str">
        <f>"MAHWAH"</f>
        <v>MAHWAH</v>
      </c>
      <c r="D4052" s="1" t="str">
        <f t="shared" si="301"/>
        <v>NJ</v>
      </c>
      <c r="E4052" s="2">
        <v>1</v>
      </c>
      <c r="F4052" s="2">
        <v>1</v>
      </c>
      <c r="G4052" s="2">
        <v>1</v>
      </c>
      <c r="H4052" s="2">
        <v>1</v>
      </c>
    </row>
    <row r="4053" spans="1:8" x14ac:dyDescent="0.25">
      <c r="A4053" s="1" t="str">
        <f>"07418"</f>
        <v>07418</v>
      </c>
      <c r="B4053" s="1" t="str">
        <f>"35084"</f>
        <v>35084</v>
      </c>
      <c r="C4053" s="1" t="str">
        <f>"GLENWOOD"</f>
        <v>GLENWOOD</v>
      </c>
      <c r="D4053" s="1" t="str">
        <f t="shared" si="301"/>
        <v>NJ</v>
      </c>
      <c r="E4053" s="2">
        <v>1</v>
      </c>
      <c r="F4053" s="2">
        <v>1</v>
      </c>
      <c r="G4053" s="2">
        <v>1</v>
      </c>
      <c r="H4053" s="2">
        <v>1</v>
      </c>
    </row>
    <row r="4054" spans="1:8" x14ac:dyDescent="0.25">
      <c r="A4054" s="1" t="str">
        <f>"08002"</f>
        <v>08002</v>
      </c>
      <c r="B4054" s="1" t="str">
        <f>"15804"</f>
        <v>15804</v>
      </c>
      <c r="C4054" s="1" t="str">
        <f>"CHERRY HILL"</f>
        <v>CHERRY HILL</v>
      </c>
      <c r="D4054" s="1" t="str">
        <f t="shared" si="301"/>
        <v>NJ</v>
      </c>
      <c r="E4054" s="2">
        <v>1</v>
      </c>
      <c r="F4054" s="2">
        <v>1</v>
      </c>
      <c r="G4054" s="2">
        <v>1</v>
      </c>
      <c r="H4054" s="2">
        <v>1</v>
      </c>
    </row>
    <row r="4055" spans="1:8" x14ac:dyDescent="0.25">
      <c r="A4055" s="1" t="str">
        <f>"08109"</f>
        <v>08109</v>
      </c>
      <c r="B4055" s="1" t="str">
        <f>"15804"</f>
        <v>15804</v>
      </c>
      <c r="C4055" s="1" t="str">
        <f>"MERCHANTVILLE"</f>
        <v>MERCHANTVILLE</v>
      </c>
      <c r="D4055" s="1" t="str">
        <f t="shared" si="301"/>
        <v>NJ</v>
      </c>
      <c r="E4055" s="2">
        <v>1</v>
      </c>
      <c r="F4055" s="2">
        <v>1</v>
      </c>
      <c r="G4055" s="2">
        <v>1</v>
      </c>
      <c r="H4055" s="2">
        <v>1</v>
      </c>
    </row>
    <row r="4056" spans="1:8" x14ac:dyDescent="0.25">
      <c r="A4056" s="1" t="str">
        <f>"08093"</f>
        <v>08093</v>
      </c>
      <c r="B4056" s="1" t="str">
        <f>"15804"</f>
        <v>15804</v>
      </c>
      <c r="C4056" s="1" t="str">
        <f>"WESTVILLE"</f>
        <v>WESTVILLE</v>
      </c>
      <c r="D4056" s="1" t="str">
        <f t="shared" si="301"/>
        <v>NJ</v>
      </c>
      <c r="E4056" s="2">
        <v>1</v>
      </c>
      <c r="F4056" s="2">
        <v>1</v>
      </c>
      <c r="G4056" s="2">
        <v>1</v>
      </c>
      <c r="H4056" s="2">
        <v>1</v>
      </c>
    </row>
    <row r="4057" spans="1:8" x14ac:dyDescent="0.25">
      <c r="A4057" s="1" t="str">
        <f>"08742"</f>
        <v>08742</v>
      </c>
      <c r="B4057" s="1" t="str">
        <f>"35154"</f>
        <v>35154</v>
      </c>
      <c r="C4057" s="1" t="str">
        <f>"POINT PLEASANT BEACH"</f>
        <v>POINT PLEASANT BEACH</v>
      </c>
      <c r="D4057" s="1" t="str">
        <f t="shared" si="301"/>
        <v>NJ</v>
      </c>
      <c r="E4057" s="2">
        <v>1</v>
      </c>
      <c r="F4057" s="2">
        <v>1</v>
      </c>
      <c r="G4057" s="2">
        <v>1</v>
      </c>
      <c r="H4057" s="2">
        <v>1</v>
      </c>
    </row>
    <row r="4058" spans="1:8" x14ac:dyDescent="0.25">
      <c r="A4058" s="1" t="str">
        <f>"08857"</f>
        <v>08857</v>
      </c>
      <c r="B4058" s="1" t="str">
        <f>"35154"</f>
        <v>35154</v>
      </c>
      <c r="C4058" s="1" t="str">
        <f>"OLD BRIDGE"</f>
        <v>OLD BRIDGE</v>
      </c>
      <c r="D4058" s="1" t="str">
        <f t="shared" si="301"/>
        <v>NJ</v>
      </c>
      <c r="E4058" s="2">
        <v>1</v>
      </c>
      <c r="F4058" s="2">
        <v>1</v>
      </c>
      <c r="G4058" s="2">
        <v>1</v>
      </c>
      <c r="H4058" s="2">
        <v>1</v>
      </c>
    </row>
    <row r="4059" spans="1:8" x14ac:dyDescent="0.25">
      <c r="A4059" s="1" t="str">
        <f>"10037"</f>
        <v>10037</v>
      </c>
      <c r="B4059" s="1" t="str">
        <f>"35614"</f>
        <v>35614</v>
      </c>
      <c r="C4059" s="1" t="str">
        <f>"NEW YORK"</f>
        <v>NEW YORK</v>
      </c>
      <c r="D4059" s="1" t="str">
        <f t="shared" ref="D4059:D4069" si="302">"NY"</f>
        <v>NY</v>
      </c>
      <c r="E4059" s="2">
        <v>1</v>
      </c>
      <c r="F4059" s="2">
        <v>1</v>
      </c>
      <c r="G4059" s="2">
        <v>1</v>
      </c>
      <c r="H4059" s="2">
        <v>1</v>
      </c>
    </row>
    <row r="4060" spans="1:8" x14ac:dyDescent="0.25">
      <c r="A4060" s="1" t="str">
        <f>"10472"</f>
        <v>10472</v>
      </c>
      <c r="B4060" s="1" t="str">
        <f>"35614"</f>
        <v>35614</v>
      </c>
      <c r="C4060" s="1" t="str">
        <f>"BRONX"</f>
        <v>BRONX</v>
      </c>
      <c r="D4060" s="1" t="str">
        <f t="shared" si="302"/>
        <v>NY</v>
      </c>
      <c r="E4060" s="2">
        <v>1</v>
      </c>
      <c r="F4060" s="2">
        <v>1</v>
      </c>
      <c r="G4060" s="2">
        <v>1</v>
      </c>
      <c r="H4060" s="2">
        <v>1</v>
      </c>
    </row>
    <row r="4061" spans="1:8" x14ac:dyDescent="0.25">
      <c r="A4061" s="1" t="str">
        <f>"11223"</f>
        <v>11223</v>
      </c>
      <c r="B4061" s="1" t="str">
        <f>"35614"</f>
        <v>35614</v>
      </c>
      <c r="C4061" s="1" t="str">
        <f>"BROOKLYN"</f>
        <v>BROOKLYN</v>
      </c>
      <c r="D4061" s="1" t="str">
        <f t="shared" si="302"/>
        <v>NY</v>
      </c>
      <c r="E4061" s="2">
        <v>1</v>
      </c>
      <c r="F4061" s="2">
        <v>1</v>
      </c>
      <c r="G4061" s="2">
        <v>1</v>
      </c>
      <c r="H4061" s="2">
        <v>1</v>
      </c>
    </row>
    <row r="4062" spans="1:8" x14ac:dyDescent="0.25">
      <c r="A4062" s="1" t="str">
        <f>"11003"</f>
        <v>11003</v>
      </c>
      <c r="B4062" s="1" t="str">
        <f>"35004"</f>
        <v>35004</v>
      </c>
      <c r="C4062" s="1" t="str">
        <f>"ELMONT"</f>
        <v>ELMONT</v>
      </c>
      <c r="D4062" s="1" t="str">
        <f t="shared" si="302"/>
        <v>NY</v>
      </c>
      <c r="E4062" s="2">
        <v>1</v>
      </c>
      <c r="F4062" s="2">
        <v>1</v>
      </c>
      <c r="G4062" s="2">
        <v>1</v>
      </c>
      <c r="H4062" s="2">
        <v>1</v>
      </c>
    </row>
    <row r="4063" spans="1:8" x14ac:dyDescent="0.25">
      <c r="A4063" s="1" t="str">
        <f>"11042"</f>
        <v>11042</v>
      </c>
      <c r="B4063" s="1" t="str">
        <f>"35004"</f>
        <v>35004</v>
      </c>
      <c r="C4063" s="1" t="str">
        <f>"NEW HYDE PARK"</f>
        <v>NEW HYDE PARK</v>
      </c>
      <c r="D4063" s="1" t="str">
        <f t="shared" si="302"/>
        <v>NY</v>
      </c>
      <c r="E4063" s="2">
        <v>0</v>
      </c>
      <c r="F4063" s="2">
        <v>1</v>
      </c>
      <c r="G4063" s="2">
        <v>1</v>
      </c>
      <c r="H4063" s="2">
        <v>1</v>
      </c>
    </row>
    <row r="4064" spans="1:8" x14ac:dyDescent="0.25">
      <c r="A4064" s="1" t="str">
        <f>"11105"</f>
        <v>11105</v>
      </c>
      <c r="B4064" s="1" t="str">
        <f>"35614"</f>
        <v>35614</v>
      </c>
      <c r="C4064" s="1" t="str">
        <f>"ASTORIA"</f>
        <v>ASTORIA</v>
      </c>
      <c r="D4064" s="1" t="str">
        <f t="shared" si="302"/>
        <v>NY</v>
      </c>
      <c r="E4064" s="2">
        <v>1</v>
      </c>
      <c r="F4064" s="2">
        <v>1</v>
      </c>
      <c r="G4064" s="2">
        <v>1</v>
      </c>
      <c r="H4064" s="2">
        <v>1</v>
      </c>
    </row>
    <row r="4065" spans="1:8" x14ac:dyDescent="0.25">
      <c r="A4065" s="1" t="str">
        <f>"11357"</f>
        <v>11357</v>
      </c>
      <c r="B4065" s="1" t="str">
        <f>"35614"</f>
        <v>35614</v>
      </c>
      <c r="C4065" s="1" t="str">
        <f>"WHITESTONE"</f>
        <v>WHITESTONE</v>
      </c>
      <c r="D4065" s="1" t="str">
        <f t="shared" si="302"/>
        <v>NY</v>
      </c>
      <c r="E4065" s="2">
        <v>1</v>
      </c>
      <c r="F4065" s="2">
        <v>1</v>
      </c>
      <c r="G4065" s="2">
        <v>1</v>
      </c>
      <c r="H4065" s="2">
        <v>1</v>
      </c>
    </row>
    <row r="4066" spans="1:8" x14ac:dyDescent="0.25">
      <c r="A4066" s="1" t="str">
        <f>"11755"</f>
        <v>11755</v>
      </c>
      <c r="B4066" s="1" t="str">
        <f>"35004"</f>
        <v>35004</v>
      </c>
      <c r="C4066" s="1" t="str">
        <f>"LAKE GROVE"</f>
        <v>LAKE GROVE</v>
      </c>
      <c r="D4066" s="1" t="str">
        <f t="shared" si="302"/>
        <v>NY</v>
      </c>
      <c r="E4066" s="2">
        <v>1</v>
      </c>
      <c r="F4066" s="2">
        <v>1</v>
      </c>
      <c r="G4066" s="2">
        <v>1</v>
      </c>
      <c r="H4066" s="2">
        <v>1</v>
      </c>
    </row>
    <row r="4067" spans="1:8" x14ac:dyDescent="0.25">
      <c r="A4067" s="1" t="str">
        <f>"11786"</f>
        <v>11786</v>
      </c>
      <c r="B4067" s="1" t="str">
        <f>"35004"</f>
        <v>35004</v>
      </c>
      <c r="C4067" s="1" t="str">
        <f>"SHOREHAM"</f>
        <v>SHOREHAM</v>
      </c>
      <c r="D4067" s="1" t="str">
        <f t="shared" si="302"/>
        <v>NY</v>
      </c>
      <c r="E4067" s="2">
        <v>1</v>
      </c>
      <c r="F4067" s="2">
        <v>1</v>
      </c>
      <c r="G4067" s="2">
        <v>1</v>
      </c>
      <c r="H4067" s="2">
        <v>1</v>
      </c>
    </row>
    <row r="4068" spans="1:8" x14ac:dyDescent="0.25">
      <c r="A4068" s="1" t="str">
        <f>"11940"</f>
        <v>11940</v>
      </c>
      <c r="B4068" s="1" t="str">
        <f>"35004"</f>
        <v>35004</v>
      </c>
      <c r="C4068" s="1" t="str">
        <f>"EAST MORICHES"</f>
        <v>EAST MORICHES</v>
      </c>
      <c r="D4068" s="1" t="str">
        <f t="shared" si="302"/>
        <v>NY</v>
      </c>
      <c r="E4068" s="2">
        <v>1</v>
      </c>
      <c r="F4068" s="2">
        <v>1</v>
      </c>
      <c r="G4068" s="2">
        <v>1</v>
      </c>
      <c r="H4068" s="2">
        <v>1</v>
      </c>
    </row>
    <row r="4069" spans="1:8" x14ac:dyDescent="0.25">
      <c r="A4069" s="1" t="str">
        <f>"10523"</f>
        <v>10523</v>
      </c>
      <c r="B4069" s="1" t="str">
        <f>"35614"</f>
        <v>35614</v>
      </c>
      <c r="C4069" s="1" t="str">
        <f>"ELMSFORD"</f>
        <v>ELMSFORD</v>
      </c>
      <c r="D4069" s="1" t="str">
        <f t="shared" si="302"/>
        <v>NY</v>
      </c>
      <c r="E4069" s="2">
        <v>1</v>
      </c>
      <c r="F4069" s="2">
        <v>1</v>
      </c>
      <c r="G4069" s="2">
        <v>1</v>
      </c>
      <c r="H4069" s="2">
        <v>1</v>
      </c>
    </row>
    <row r="4070" spans="1:8" x14ac:dyDescent="0.25">
      <c r="A4070" s="1" t="str">
        <f>"18337"</f>
        <v>18337</v>
      </c>
      <c r="B4070" s="1" t="str">
        <f>"35084"</f>
        <v>35084</v>
      </c>
      <c r="C4070" s="1" t="str">
        <f>"MILFORD"</f>
        <v>MILFORD</v>
      </c>
      <c r="D4070" s="1" t="str">
        <f t="shared" ref="D4070:D4084" si="303">"PA"</f>
        <v>PA</v>
      </c>
      <c r="E4070" s="2">
        <v>1</v>
      </c>
      <c r="F4070" s="2">
        <v>1</v>
      </c>
      <c r="G4070" s="2">
        <v>1</v>
      </c>
      <c r="H4070" s="2">
        <v>1</v>
      </c>
    </row>
    <row r="4071" spans="1:8" x14ac:dyDescent="0.25">
      <c r="A4071" s="1" t="str">
        <f>"18930"</f>
        <v>18930</v>
      </c>
      <c r="B4071" s="1" t="str">
        <f>"33874"</f>
        <v>33874</v>
      </c>
      <c r="C4071" s="1" t="str">
        <f>"KINTNERSVILLE"</f>
        <v>KINTNERSVILLE</v>
      </c>
      <c r="D4071" s="1" t="str">
        <f t="shared" si="303"/>
        <v>PA</v>
      </c>
      <c r="E4071" s="2">
        <v>1</v>
      </c>
      <c r="F4071" s="2">
        <v>1</v>
      </c>
      <c r="G4071" s="2">
        <v>1</v>
      </c>
      <c r="H4071" s="2">
        <v>1</v>
      </c>
    </row>
    <row r="4072" spans="1:8" x14ac:dyDescent="0.25">
      <c r="A4072" s="1" t="str">
        <f>"19034"</f>
        <v>19034</v>
      </c>
      <c r="B4072" s="1" t="str">
        <f>"33874"</f>
        <v>33874</v>
      </c>
      <c r="C4072" s="1" t="str">
        <f>"FORT WASHINGTON"</f>
        <v>FORT WASHINGTON</v>
      </c>
      <c r="D4072" s="1" t="str">
        <f t="shared" si="303"/>
        <v>PA</v>
      </c>
      <c r="E4072" s="2">
        <v>1</v>
      </c>
      <c r="F4072" s="2">
        <v>1</v>
      </c>
      <c r="G4072" s="2">
        <v>1</v>
      </c>
      <c r="H4072" s="2">
        <v>1</v>
      </c>
    </row>
    <row r="4073" spans="1:8" x14ac:dyDescent="0.25">
      <c r="A4073" s="1" t="str">
        <f>"19046"</f>
        <v>19046</v>
      </c>
      <c r="B4073" s="1" t="str">
        <f>"37964"</f>
        <v>37964</v>
      </c>
      <c r="C4073" s="1" t="str">
        <f>"JENKINTOWN"</f>
        <v>JENKINTOWN</v>
      </c>
      <c r="D4073" s="1" t="str">
        <f t="shared" si="303"/>
        <v>PA</v>
      </c>
      <c r="E4073" s="2">
        <v>9.8328416912487699E-5</v>
      </c>
      <c r="F4073" s="2">
        <v>7.6161462300076098E-4</v>
      </c>
      <c r="G4073" s="2">
        <v>0</v>
      </c>
      <c r="H4073" s="2">
        <v>1.63572421689703E-4</v>
      </c>
    </row>
    <row r="4074" spans="1:8" x14ac:dyDescent="0.25">
      <c r="A4074" s="1" t="str">
        <f>"19046"</f>
        <v>19046</v>
      </c>
      <c r="B4074" s="1" t="str">
        <f>"33874"</f>
        <v>33874</v>
      </c>
      <c r="C4074" s="1" t="str">
        <f>"JENKINTOWN"</f>
        <v>JENKINTOWN</v>
      </c>
      <c r="D4074" s="1" t="str">
        <f t="shared" si="303"/>
        <v>PA</v>
      </c>
      <c r="E4074" s="2">
        <v>0.99990167158308696</v>
      </c>
      <c r="F4074" s="2">
        <v>0.99923838537699905</v>
      </c>
      <c r="G4074" s="2">
        <v>1</v>
      </c>
      <c r="H4074" s="2">
        <v>0.99983642757831004</v>
      </c>
    </row>
    <row r="4075" spans="1:8" x14ac:dyDescent="0.25">
      <c r="A4075" s="1" t="str">
        <f>"19072"</f>
        <v>19072</v>
      </c>
      <c r="B4075" s="1" t="str">
        <f>"33874"</f>
        <v>33874</v>
      </c>
      <c r="C4075" s="1" t="str">
        <f>"NARBERTH"</f>
        <v>NARBERTH</v>
      </c>
      <c r="D4075" s="1" t="str">
        <f t="shared" si="303"/>
        <v>PA</v>
      </c>
      <c r="E4075" s="2">
        <v>1</v>
      </c>
      <c r="F4075" s="2">
        <v>1</v>
      </c>
      <c r="G4075" s="2">
        <v>1</v>
      </c>
      <c r="H4075" s="2">
        <v>1</v>
      </c>
    </row>
    <row r="4076" spans="1:8" x14ac:dyDescent="0.25">
      <c r="A4076" s="1" t="str">
        <f>"19083"</f>
        <v>19083</v>
      </c>
      <c r="B4076" s="1" t="str">
        <f>"37964"</f>
        <v>37964</v>
      </c>
      <c r="C4076" s="1" t="str">
        <f>"HAVERTOWN"</f>
        <v>HAVERTOWN</v>
      </c>
      <c r="D4076" s="1" t="str">
        <f t="shared" si="303"/>
        <v>PA</v>
      </c>
      <c r="E4076" s="2">
        <v>0.99639164527097301</v>
      </c>
      <c r="F4076" s="2">
        <v>0.99911894273127699</v>
      </c>
      <c r="G4076" s="2">
        <v>1</v>
      </c>
      <c r="H4076" s="2">
        <v>0.99666456891126398</v>
      </c>
    </row>
    <row r="4077" spans="1:8" x14ac:dyDescent="0.25">
      <c r="A4077" s="1" t="str">
        <f>"19083"</f>
        <v>19083</v>
      </c>
      <c r="B4077" s="1" t="str">
        <f>"33874"</f>
        <v>33874</v>
      </c>
      <c r="C4077" s="1" t="str">
        <f>"HAVERTOWN"</f>
        <v>HAVERTOWN</v>
      </c>
      <c r="D4077" s="1" t="str">
        <f t="shared" si="303"/>
        <v>PA</v>
      </c>
      <c r="E4077" s="2">
        <v>3.6083547290264302E-3</v>
      </c>
      <c r="F4077" s="2">
        <v>8.8105726872246602E-4</v>
      </c>
      <c r="G4077" s="2">
        <v>0</v>
      </c>
      <c r="H4077" s="2">
        <v>3.3354310887350499E-3</v>
      </c>
    </row>
    <row r="4078" spans="1:8" x14ac:dyDescent="0.25">
      <c r="A4078" s="1" t="str">
        <f>"19087"</f>
        <v>19087</v>
      </c>
      <c r="B4078" s="1" t="str">
        <f>"33874"</f>
        <v>33874</v>
      </c>
      <c r="C4078" s="1" t="str">
        <f>"WAYNE"</f>
        <v>WAYNE</v>
      </c>
      <c r="D4078" s="1" t="str">
        <f t="shared" si="303"/>
        <v>PA</v>
      </c>
      <c r="E4078" s="2">
        <v>0.55645442499476905</v>
      </c>
      <c r="F4078" s="2">
        <v>0.40576287198866301</v>
      </c>
      <c r="G4078" s="2">
        <v>0.41111111111111098</v>
      </c>
      <c r="H4078" s="2">
        <v>0.53115950422796199</v>
      </c>
    </row>
    <row r="4079" spans="1:8" x14ac:dyDescent="0.25">
      <c r="A4079" s="1" t="str">
        <f>"19087"</f>
        <v>19087</v>
      </c>
      <c r="B4079" s="1" t="str">
        <f>"37964"</f>
        <v>37964</v>
      </c>
      <c r="C4079" s="1" t="str">
        <f>"WAYNE"</f>
        <v>WAYNE</v>
      </c>
      <c r="D4079" s="1" t="str">
        <f t="shared" si="303"/>
        <v>PA</v>
      </c>
      <c r="E4079" s="2">
        <v>0.44354557500523001</v>
      </c>
      <c r="F4079" s="2">
        <v>0.59423712801133599</v>
      </c>
      <c r="G4079" s="2">
        <v>0.58888888888888802</v>
      </c>
      <c r="H4079" s="2">
        <v>0.46884049577203701</v>
      </c>
    </row>
    <row r="4080" spans="1:8" x14ac:dyDescent="0.25">
      <c r="A4080" s="1" t="str">
        <f>"19127"</f>
        <v>19127</v>
      </c>
      <c r="B4080" s="1" t="str">
        <f>"37964"</f>
        <v>37964</v>
      </c>
      <c r="C4080" s="1" t="str">
        <f>"PHILADELPHIA"</f>
        <v>PHILADELPHIA</v>
      </c>
      <c r="D4080" s="1" t="str">
        <f t="shared" si="303"/>
        <v>PA</v>
      </c>
      <c r="E4080" s="2">
        <v>1</v>
      </c>
      <c r="F4080" s="2">
        <v>1</v>
      </c>
      <c r="G4080" s="2">
        <v>1</v>
      </c>
      <c r="H4080" s="2">
        <v>1</v>
      </c>
    </row>
    <row r="4081" spans="1:8" x14ac:dyDescent="0.25">
      <c r="A4081" s="1" t="str">
        <f>"19342"</f>
        <v>19342</v>
      </c>
      <c r="B4081" s="1" t="str">
        <f>"33874"</f>
        <v>33874</v>
      </c>
      <c r="C4081" s="1" t="str">
        <f>"GLEN MILLS"</f>
        <v>GLEN MILLS</v>
      </c>
      <c r="D4081" s="1" t="str">
        <f t="shared" si="303"/>
        <v>PA</v>
      </c>
      <c r="E4081" s="2">
        <v>1.73779146502419E-2</v>
      </c>
      <c r="F4081" s="2">
        <v>0</v>
      </c>
      <c r="G4081" s="2">
        <v>5.8823529411764696E-3</v>
      </c>
      <c r="H4081" s="2">
        <v>1.5882529217860299E-2</v>
      </c>
    </row>
    <row r="4082" spans="1:8" x14ac:dyDescent="0.25">
      <c r="A4082" s="1" t="str">
        <f>"19342"</f>
        <v>19342</v>
      </c>
      <c r="B4082" s="1" t="str">
        <f>"37964"</f>
        <v>37964</v>
      </c>
      <c r="C4082" s="1" t="str">
        <f>"GLEN MILLS"</f>
        <v>GLEN MILLS</v>
      </c>
      <c r="D4082" s="1" t="str">
        <f t="shared" si="303"/>
        <v>PA</v>
      </c>
      <c r="E4082" s="2">
        <v>0.98262208534975803</v>
      </c>
      <c r="F4082" s="2">
        <v>1</v>
      </c>
      <c r="G4082" s="2">
        <v>0.994117647058823</v>
      </c>
      <c r="H4082" s="2">
        <v>0.98411747078213896</v>
      </c>
    </row>
    <row r="4083" spans="1:8" x14ac:dyDescent="0.25">
      <c r="A4083" s="1" t="str">
        <f>"19426"</f>
        <v>19426</v>
      </c>
      <c r="B4083" s="1" t="str">
        <f>"33874"</f>
        <v>33874</v>
      </c>
      <c r="C4083" s="1" t="str">
        <f>"COLLEGEVILLE"</f>
        <v>COLLEGEVILLE</v>
      </c>
      <c r="D4083" s="1" t="str">
        <f t="shared" si="303"/>
        <v>PA</v>
      </c>
      <c r="E4083" s="2">
        <v>1</v>
      </c>
      <c r="F4083" s="2">
        <v>1</v>
      </c>
      <c r="G4083" s="2">
        <v>1</v>
      </c>
      <c r="H4083" s="2">
        <v>1</v>
      </c>
    </row>
    <row r="4084" spans="1:8" x14ac:dyDescent="0.25">
      <c r="A4084" s="1" t="str">
        <f>"19462"</f>
        <v>19462</v>
      </c>
      <c r="B4084" s="1" t="str">
        <f>"33874"</f>
        <v>33874</v>
      </c>
      <c r="C4084" s="1" t="str">
        <f>"PLYMOUTH MEETING"</f>
        <v>PLYMOUTH MEETING</v>
      </c>
      <c r="D4084" s="1" t="str">
        <f t="shared" si="303"/>
        <v>PA</v>
      </c>
      <c r="E4084" s="2">
        <v>1</v>
      </c>
      <c r="F4084" s="2">
        <v>1</v>
      </c>
      <c r="G4084" s="2">
        <v>1</v>
      </c>
      <c r="H4084" s="2">
        <v>1</v>
      </c>
    </row>
    <row r="4085" spans="1:8" x14ac:dyDescent="0.25">
      <c r="A4085" s="1" t="str">
        <f>"19709"</f>
        <v>19709</v>
      </c>
      <c r="B4085" s="1" t="str">
        <f>"48864"</f>
        <v>48864</v>
      </c>
      <c r="C4085" s="1" t="str">
        <f>"MIDDLETOWN"</f>
        <v>MIDDLETOWN</v>
      </c>
      <c r="D4085" s="1" t="str">
        <f>"DE"</f>
        <v>DE</v>
      </c>
      <c r="E4085" s="2">
        <v>1</v>
      </c>
      <c r="F4085" s="2">
        <v>1</v>
      </c>
      <c r="G4085" s="2">
        <v>1</v>
      </c>
      <c r="H4085" s="2">
        <v>1</v>
      </c>
    </row>
    <row r="4086" spans="1:8" x14ac:dyDescent="0.25">
      <c r="A4086" s="1" t="str">
        <f>"19711"</f>
        <v>19711</v>
      </c>
      <c r="B4086" s="1" t="str">
        <f>"48864"</f>
        <v>48864</v>
      </c>
      <c r="C4086" s="1" t="str">
        <f>"NEWARK"</f>
        <v>NEWARK</v>
      </c>
      <c r="D4086" s="1" t="str">
        <f>"DE"</f>
        <v>DE</v>
      </c>
      <c r="E4086" s="2">
        <v>1</v>
      </c>
      <c r="F4086" s="2">
        <v>1</v>
      </c>
      <c r="G4086" s="2">
        <v>1</v>
      </c>
      <c r="H4086" s="2">
        <v>1</v>
      </c>
    </row>
    <row r="4087" spans="1:8" x14ac:dyDescent="0.25">
      <c r="A4087" s="1" t="str">
        <f>"20664"</f>
        <v>20664</v>
      </c>
      <c r="B4087" s="1" t="str">
        <f>"47894"</f>
        <v>47894</v>
      </c>
      <c r="C4087" s="1" t="str">
        <f>"NEWBURG"</f>
        <v>NEWBURG</v>
      </c>
      <c r="D4087" s="1" t="str">
        <f>"MD"</f>
        <v>MD</v>
      </c>
      <c r="E4087" s="2">
        <v>1</v>
      </c>
      <c r="F4087" s="2">
        <v>1</v>
      </c>
      <c r="G4087" s="2">
        <v>1</v>
      </c>
      <c r="H4087" s="2">
        <v>1</v>
      </c>
    </row>
    <row r="4088" spans="1:8" x14ac:dyDescent="0.25">
      <c r="A4088" s="1" t="str">
        <f>"20815"</f>
        <v>20815</v>
      </c>
      <c r="B4088" s="1" t="str">
        <f>"23224"</f>
        <v>23224</v>
      </c>
      <c r="C4088" s="1" t="str">
        <f>"CHEVY CHASE"</f>
        <v>CHEVY CHASE</v>
      </c>
      <c r="D4088" s="1" t="str">
        <f>"MD"</f>
        <v>MD</v>
      </c>
      <c r="E4088" s="2">
        <v>1</v>
      </c>
      <c r="F4088" s="2">
        <v>1</v>
      </c>
      <c r="G4088" s="2">
        <v>1</v>
      </c>
      <c r="H4088" s="2">
        <v>1</v>
      </c>
    </row>
    <row r="4089" spans="1:8" x14ac:dyDescent="0.25">
      <c r="A4089" s="1" t="str">
        <f>"20901"</f>
        <v>20901</v>
      </c>
      <c r="B4089" s="1" t="str">
        <f>"23224"</f>
        <v>23224</v>
      </c>
      <c r="C4089" s="1" t="str">
        <f>"SILVER SPRING"</f>
        <v>SILVER SPRING</v>
      </c>
      <c r="D4089" s="1" t="str">
        <f>"MD"</f>
        <v>MD</v>
      </c>
      <c r="E4089" s="2">
        <v>1</v>
      </c>
      <c r="F4089" s="2">
        <v>1</v>
      </c>
      <c r="G4089" s="2">
        <v>1</v>
      </c>
      <c r="H4089" s="2">
        <v>1</v>
      </c>
    </row>
    <row r="4090" spans="1:8" x14ac:dyDescent="0.25">
      <c r="A4090" s="1" t="str">
        <f>"20108"</f>
        <v>20108</v>
      </c>
      <c r="B4090" s="1" t="str">
        <f t="shared" ref="B4090:B4098" si="304">"47894"</f>
        <v>47894</v>
      </c>
      <c r="C4090" s="1" t="str">
        <f>"MANASSAS"</f>
        <v>MANASSAS</v>
      </c>
      <c r="D4090" s="1" t="str">
        <f t="shared" ref="D4090:D4098" si="305">"VA"</f>
        <v>VA</v>
      </c>
      <c r="E4090" s="2">
        <v>1</v>
      </c>
      <c r="F4090" s="2">
        <v>1</v>
      </c>
      <c r="G4090" s="2">
        <v>1</v>
      </c>
      <c r="H4090" s="2">
        <v>1</v>
      </c>
    </row>
    <row r="4091" spans="1:8" x14ac:dyDescent="0.25">
      <c r="A4091" s="1" t="str">
        <f>"20167"</f>
        <v>20167</v>
      </c>
      <c r="B4091" s="1" t="str">
        <f t="shared" si="304"/>
        <v>47894</v>
      </c>
      <c r="C4091" s="1" t="str">
        <f>"STERLING"</f>
        <v>STERLING</v>
      </c>
      <c r="D4091" s="1" t="str">
        <f t="shared" si="305"/>
        <v>VA</v>
      </c>
      <c r="E4091" s="2">
        <v>1</v>
      </c>
      <c r="F4091" s="2">
        <v>1</v>
      </c>
      <c r="G4091" s="2">
        <v>1</v>
      </c>
      <c r="H4091" s="2">
        <v>1</v>
      </c>
    </row>
    <row r="4092" spans="1:8" x14ac:dyDescent="0.25">
      <c r="A4092" s="1" t="str">
        <f>"22033"</f>
        <v>22033</v>
      </c>
      <c r="B4092" s="1" t="str">
        <f t="shared" si="304"/>
        <v>47894</v>
      </c>
      <c r="C4092" s="1" t="str">
        <f>"FAIRFAX"</f>
        <v>FAIRFAX</v>
      </c>
      <c r="D4092" s="1" t="str">
        <f t="shared" si="305"/>
        <v>VA</v>
      </c>
      <c r="E4092" s="2">
        <v>1</v>
      </c>
      <c r="F4092" s="2">
        <v>1</v>
      </c>
      <c r="G4092" s="2">
        <v>1</v>
      </c>
      <c r="H4092" s="2">
        <v>1</v>
      </c>
    </row>
    <row r="4093" spans="1:8" x14ac:dyDescent="0.25">
      <c r="A4093" s="1" t="str">
        <f>"22134"</f>
        <v>22134</v>
      </c>
      <c r="B4093" s="1" t="str">
        <f t="shared" si="304"/>
        <v>47894</v>
      </c>
      <c r="C4093" s="1" t="str">
        <f>"QUANTICO"</f>
        <v>QUANTICO</v>
      </c>
      <c r="D4093" s="1" t="str">
        <f t="shared" si="305"/>
        <v>VA</v>
      </c>
      <c r="E4093" s="2">
        <v>1</v>
      </c>
      <c r="F4093" s="2">
        <v>1</v>
      </c>
      <c r="G4093" s="2">
        <v>1</v>
      </c>
      <c r="H4093" s="2">
        <v>1</v>
      </c>
    </row>
    <row r="4094" spans="1:8" x14ac:dyDescent="0.25">
      <c r="A4094" s="1" t="str">
        <f>"22039"</f>
        <v>22039</v>
      </c>
      <c r="B4094" s="1" t="str">
        <f t="shared" si="304"/>
        <v>47894</v>
      </c>
      <c r="C4094" s="1" t="str">
        <f>"FAIRFAX STATION"</f>
        <v>FAIRFAX STATION</v>
      </c>
      <c r="D4094" s="1" t="str">
        <f t="shared" si="305"/>
        <v>VA</v>
      </c>
      <c r="E4094" s="2">
        <v>1</v>
      </c>
      <c r="F4094" s="2">
        <v>1</v>
      </c>
      <c r="G4094" s="2">
        <v>1</v>
      </c>
      <c r="H4094" s="2">
        <v>1</v>
      </c>
    </row>
    <row r="4095" spans="1:8" x14ac:dyDescent="0.25">
      <c r="A4095" s="1" t="str">
        <f>"22202"</f>
        <v>22202</v>
      </c>
      <c r="B4095" s="1" t="str">
        <f t="shared" si="304"/>
        <v>47894</v>
      </c>
      <c r="C4095" s="1" t="str">
        <f>"ARLINGTON"</f>
        <v>ARLINGTON</v>
      </c>
      <c r="D4095" s="1" t="str">
        <f t="shared" si="305"/>
        <v>VA</v>
      </c>
      <c r="E4095" s="2">
        <v>1</v>
      </c>
      <c r="F4095" s="2">
        <v>1</v>
      </c>
      <c r="G4095" s="2">
        <v>1</v>
      </c>
      <c r="H4095" s="2">
        <v>1</v>
      </c>
    </row>
    <row r="4096" spans="1:8" x14ac:dyDescent="0.25">
      <c r="A4096" s="1" t="str">
        <f>"22204"</f>
        <v>22204</v>
      </c>
      <c r="B4096" s="1" t="str">
        <f t="shared" si="304"/>
        <v>47894</v>
      </c>
      <c r="C4096" s="1" t="str">
        <f>"ARLINGTON"</f>
        <v>ARLINGTON</v>
      </c>
      <c r="D4096" s="1" t="str">
        <f t="shared" si="305"/>
        <v>VA</v>
      </c>
      <c r="E4096" s="2">
        <v>1</v>
      </c>
      <c r="F4096" s="2">
        <v>1</v>
      </c>
      <c r="G4096" s="2">
        <v>1</v>
      </c>
      <c r="H4096" s="2">
        <v>1</v>
      </c>
    </row>
    <row r="4097" spans="1:8" x14ac:dyDescent="0.25">
      <c r="A4097" s="1" t="str">
        <f>"22741"</f>
        <v>22741</v>
      </c>
      <c r="B4097" s="1" t="str">
        <f t="shared" si="304"/>
        <v>47894</v>
      </c>
      <c r="C4097" s="1" t="str">
        <f>"STEVENSBURG"</f>
        <v>STEVENSBURG</v>
      </c>
      <c r="D4097" s="1" t="str">
        <f t="shared" si="305"/>
        <v>VA</v>
      </c>
      <c r="E4097" s="2">
        <v>1</v>
      </c>
      <c r="F4097" s="2">
        <v>1</v>
      </c>
      <c r="G4097" s="2">
        <v>0</v>
      </c>
      <c r="H4097" s="2">
        <v>1</v>
      </c>
    </row>
    <row r="4098" spans="1:8" x14ac:dyDescent="0.25">
      <c r="A4098" s="1" t="str">
        <f>"22709"</f>
        <v>22709</v>
      </c>
      <c r="B4098" s="1" t="str">
        <f t="shared" si="304"/>
        <v>47894</v>
      </c>
      <c r="C4098" s="1" t="str">
        <f>"ARODA"</f>
        <v>ARODA</v>
      </c>
      <c r="D4098" s="1" t="str">
        <f t="shared" si="305"/>
        <v>VA</v>
      </c>
      <c r="E4098" s="2">
        <v>1</v>
      </c>
      <c r="F4098" s="2">
        <v>1</v>
      </c>
      <c r="G4098" s="2">
        <v>1</v>
      </c>
      <c r="H4098" s="2">
        <v>1</v>
      </c>
    </row>
    <row r="4099" spans="1:8" x14ac:dyDescent="0.25">
      <c r="A4099" s="1" t="str">
        <f>"33012"</f>
        <v>33012</v>
      </c>
      <c r="B4099" s="1" t="str">
        <f>"33124"</f>
        <v>33124</v>
      </c>
      <c r="C4099" s="1" t="str">
        <f>"HIALEAH"</f>
        <v>HIALEAH</v>
      </c>
      <c r="D4099" s="1" t="str">
        <f t="shared" ref="D4099:D4104" si="306">"FL"</f>
        <v>FL</v>
      </c>
      <c r="E4099" s="2">
        <v>1</v>
      </c>
      <c r="F4099" s="2">
        <v>1</v>
      </c>
      <c r="G4099" s="2">
        <v>1</v>
      </c>
      <c r="H4099" s="2">
        <v>1</v>
      </c>
    </row>
    <row r="4100" spans="1:8" x14ac:dyDescent="0.25">
      <c r="A4100" s="1" t="str">
        <f>"33130"</f>
        <v>33130</v>
      </c>
      <c r="B4100" s="1" t="str">
        <f>"33124"</f>
        <v>33124</v>
      </c>
      <c r="C4100" s="1" t="str">
        <f>"MIAMI"</f>
        <v>MIAMI</v>
      </c>
      <c r="D4100" s="1" t="str">
        <f t="shared" si="306"/>
        <v>FL</v>
      </c>
      <c r="E4100" s="2">
        <v>1</v>
      </c>
      <c r="F4100" s="2">
        <v>1</v>
      </c>
      <c r="G4100" s="2">
        <v>1</v>
      </c>
      <c r="H4100" s="2">
        <v>1</v>
      </c>
    </row>
    <row r="4101" spans="1:8" x14ac:dyDescent="0.25">
      <c r="A4101" s="1" t="str">
        <f>"33351"</f>
        <v>33351</v>
      </c>
      <c r="B4101" s="1" t="str">
        <f>"22744"</f>
        <v>22744</v>
      </c>
      <c r="C4101" s="1" t="str">
        <f>"FORT LAUDERDALE"</f>
        <v>FORT LAUDERDALE</v>
      </c>
      <c r="D4101" s="1" t="str">
        <f t="shared" si="306"/>
        <v>FL</v>
      </c>
      <c r="E4101" s="2">
        <v>1</v>
      </c>
      <c r="F4101" s="2">
        <v>1</v>
      </c>
      <c r="G4101" s="2">
        <v>1</v>
      </c>
      <c r="H4101" s="2">
        <v>1</v>
      </c>
    </row>
    <row r="4102" spans="1:8" x14ac:dyDescent="0.25">
      <c r="A4102" s="1" t="str">
        <f>"33331"</f>
        <v>33331</v>
      </c>
      <c r="B4102" s="1" t="str">
        <f>"22744"</f>
        <v>22744</v>
      </c>
      <c r="C4102" s="1" t="str">
        <f>"FORT LAUDERDALE"</f>
        <v>FORT LAUDERDALE</v>
      </c>
      <c r="D4102" s="1" t="str">
        <f t="shared" si="306"/>
        <v>FL</v>
      </c>
      <c r="E4102" s="2">
        <v>1</v>
      </c>
      <c r="F4102" s="2">
        <v>1</v>
      </c>
      <c r="G4102" s="2">
        <v>1</v>
      </c>
      <c r="H4102" s="2">
        <v>1</v>
      </c>
    </row>
    <row r="4103" spans="1:8" x14ac:dyDescent="0.25">
      <c r="A4103" s="1" t="str">
        <f>"33156"</f>
        <v>33156</v>
      </c>
      <c r="B4103" s="1" t="str">
        <f>"33124"</f>
        <v>33124</v>
      </c>
      <c r="C4103" s="1" t="str">
        <f>"MIAMI"</f>
        <v>MIAMI</v>
      </c>
      <c r="D4103" s="1" t="str">
        <f t="shared" si="306"/>
        <v>FL</v>
      </c>
      <c r="E4103" s="2">
        <v>1</v>
      </c>
      <c r="F4103" s="2">
        <v>1</v>
      </c>
      <c r="G4103" s="2">
        <v>1</v>
      </c>
      <c r="H4103" s="2">
        <v>1</v>
      </c>
    </row>
    <row r="4104" spans="1:8" x14ac:dyDescent="0.25">
      <c r="A4104" s="1" t="str">
        <f>"33195"</f>
        <v>33195</v>
      </c>
      <c r="B4104" s="1" t="str">
        <f>"33124"</f>
        <v>33124</v>
      </c>
      <c r="C4104" s="1" t="str">
        <f>"MIAMI"</f>
        <v>MIAMI</v>
      </c>
      <c r="D4104" s="1" t="str">
        <f t="shared" si="306"/>
        <v>FL</v>
      </c>
      <c r="E4104" s="2">
        <v>0</v>
      </c>
      <c r="F4104" s="2">
        <v>1</v>
      </c>
      <c r="G4104" s="2">
        <v>1</v>
      </c>
      <c r="H4104" s="2">
        <v>1</v>
      </c>
    </row>
    <row r="4105" spans="1:8" x14ac:dyDescent="0.25">
      <c r="A4105" s="1" t="str">
        <f>"46373"</f>
        <v>46373</v>
      </c>
      <c r="B4105" s="1" t="str">
        <f>"23844"</f>
        <v>23844</v>
      </c>
      <c r="C4105" s="1" t="str">
        <f>"SAINT JOHN"</f>
        <v>SAINT JOHN</v>
      </c>
      <c r="D4105" s="1" t="str">
        <f>"IN"</f>
        <v>IN</v>
      </c>
      <c r="E4105" s="2">
        <v>1</v>
      </c>
      <c r="F4105" s="2">
        <v>1</v>
      </c>
      <c r="G4105" s="2">
        <v>1</v>
      </c>
      <c r="H4105" s="2">
        <v>1</v>
      </c>
    </row>
    <row r="4106" spans="1:8" x14ac:dyDescent="0.25">
      <c r="A4106" s="1" t="str">
        <f>"47922"</f>
        <v>47922</v>
      </c>
      <c r="B4106" s="1" t="str">
        <f>"23844"</f>
        <v>23844</v>
      </c>
      <c r="C4106" s="1" t="str">
        <f>"BROOK"</f>
        <v>BROOK</v>
      </c>
      <c r="D4106" s="1" t="str">
        <f>"IN"</f>
        <v>IN</v>
      </c>
      <c r="E4106" s="2">
        <v>1</v>
      </c>
      <c r="F4106" s="2">
        <v>1</v>
      </c>
      <c r="G4106" s="2">
        <v>1</v>
      </c>
      <c r="H4106" s="2">
        <v>1</v>
      </c>
    </row>
    <row r="4107" spans="1:8" x14ac:dyDescent="0.25">
      <c r="A4107" s="1" t="str">
        <f>"47951"</f>
        <v>47951</v>
      </c>
      <c r="B4107" s="1" t="str">
        <f>"23844"</f>
        <v>23844</v>
      </c>
      <c r="C4107" s="1" t="str">
        <f>"KENTLAND"</f>
        <v>KENTLAND</v>
      </c>
      <c r="D4107" s="1" t="str">
        <f>"IN"</f>
        <v>IN</v>
      </c>
      <c r="E4107" s="2">
        <v>1</v>
      </c>
      <c r="F4107" s="2">
        <v>1</v>
      </c>
      <c r="G4107" s="2">
        <v>1</v>
      </c>
      <c r="H4107" s="2">
        <v>1</v>
      </c>
    </row>
    <row r="4108" spans="1:8" x14ac:dyDescent="0.25">
      <c r="A4108" s="1" t="str">
        <f>"48353"</f>
        <v>48353</v>
      </c>
      <c r="B4108" s="1" t="str">
        <f>"47664"</f>
        <v>47664</v>
      </c>
      <c r="C4108" s="1" t="str">
        <f>"HARTLAND"</f>
        <v>HARTLAND</v>
      </c>
      <c r="D4108" s="1" t="str">
        <f>"MI"</f>
        <v>MI</v>
      </c>
      <c r="E4108" s="2">
        <v>1</v>
      </c>
      <c r="F4108" s="2">
        <v>1</v>
      </c>
      <c r="G4108" s="2">
        <v>1</v>
      </c>
      <c r="H4108" s="2">
        <v>1</v>
      </c>
    </row>
    <row r="4109" spans="1:8" x14ac:dyDescent="0.25">
      <c r="A4109" s="1" t="str">
        <f>"48333"</f>
        <v>48333</v>
      </c>
      <c r="B4109" s="1" t="str">
        <f>"47664"</f>
        <v>47664</v>
      </c>
      <c r="C4109" s="1" t="str">
        <f>"FARMINGTON"</f>
        <v>FARMINGTON</v>
      </c>
      <c r="D4109" s="1" t="str">
        <f>"MI"</f>
        <v>MI</v>
      </c>
      <c r="E4109" s="2">
        <v>1</v>
      </c>
      <c r="F4109" s="2">
        <v>1</v>
      </c>
      <c r="G4109" s="2">
        <v>1</v>
      </c>
      <c r="H4109" s="2">
        <v>1</v>
      </c>
    </row>
    <row r="4110" spans="1:8" x14ac:dyDescent="0.25">
      <c r="A4110" s="1" t="str">
        <f>"48310"</f>
        <v>48310</v>
      </c>
      <c r="B4110" s="1" t="str">
        <f>"47664"</f>
        <v>47664</v>
      </c>
      <c r="C4110" s="1" t="str">
        <f>"STERLING HEIGHTS"</f>
        <v>STERLING HEIGHTS</v>
      </c>
      <c r="D4110" s="1" t="str">
        <f>"MI"</f>
        <v>MI</v>
      </c>
      <c r="E4110" s="2">
        <v>1</v>
      </c>
      <c r="F4110" s="2">
        <v>1</v>
      </c>
      <c r="G4110" s="2">
        <v>1</v>
      </c>
      <c r="H4110" s="2">
        <v>1</v>
      </c>
    </row>
    <row r="4111" spans="1:8" x14ac:dyDescent="0.25">
      <c r="A4111" s="1" t="str">
        <f>"48192"</f>
        <v>48192</v>
      </c>
      <c r="B4111" s="1" t="str">
        <f>"19804"</f>
        <v>19804</v>
      </c>
      <c r="C4111" s="1" t="str">
        <f>"WYANDOTTE"</f>
        <v>WYANDOTTE</v>
      </c>
      <c r="D4111" s="1" t="str">
        <f>"MI"</f>
        <v>MI</v>
      </c>
      <c r="E4111" s="2">
        <v>1</v>
      </c>
      <c r="F4111" s="2">
        <v>1</v>
      </c>
      <c r="G4111" s="2">
        <v>1</v>
      </c>
      <c r="H4111" s="2">
        <v>1</v>
      </c>
    </row>
    <row r="4112" spans="1:8" x14ac:dyDescent="0.25">
      <c r="A4112" s="1" t="str">
        <f>"48421"</f>
        <v>48421</v>
      </c>
      <c r="B4112" s="1" t="str">
        <f>"47664"</f>
        <v>47664</v>
      </c>
      <c r="C4112" s="1" t="str">
        <f>"COLUMBIAVILLE"</f>
        <v>COLUMBIAVILLE</v>
      </c>
      <c r="D4112" s="1" t="str">
        <f>"MI"</f>
        <v>MI</v>
      </c>
      <c r="E4112" s="2">
        <v>1</v>
      </c>
      <c r="F4112" s="2">
        <v>1</v>
      </c>
      <c r="G4112" s="2">
        <v>1</v>
      </c>
      <c r="H4112" s="2">
        <v>1</v>
      </c>
    </row>
    <row r="4113" spans="1:8" x14ac:dyDescent="0.25">
      <c r="A4113" s="1" t="str">
        <f>"60430"</f>
        <v>60430</v>
      </c>
      <c r="B4113" s="1" t="str">
        <f t="shared" ref="B4113:B4119" si="307">"16984"</f>
        <v>16984</v>
      </c>
      <c r="C4113" s="1" t="str">
        <f>"HOMEWOOD"</f>
        <v>HOMEWOOD</v>
      </c>
      <c r="D4113" s="1" t="str">
        <f t="shared" ref="D4113:D4127" si="308">"IL"</f>
        <v>IL</v>
      </c>
      <c r="E4113" s="2">
        <v>1</v>
      </c>
      <c r="F4113" s="2">
        <v>1</v>
      </c>
      <c r="G4113" s="2">
        <v>1</v>
      </c>
      <c r="H4113" s="2">
        <v>1</v>
      </c>
    </row>
    <row r="4114" spans="1:8" x14ac:dyDescent="0.25">
      <c r="A4114" s="1" t="str">
        <f>"60436"</f>
        <v>60436</v>
      </c>
      <c r="B4114" s="1" t="str">
        <f t="shared" si="307"/>
        <v>16984</v>
      </c>
      <c r="C4114" s="1" t="str">
        <f>"JOLIET"</f>
        <v>JOLIET</v>
      </c>
      <c r="D4114" s="1" t="str">
        <f t="shared" si="308"/>
        <v>IL</v>
      </c>
      <c r="E4114" s="2">
        <v>1</v>
      </c>
      <c r="F4114" s="2">
        <v>1</v>
      </c>
      <c r="G4114" s="2">
        <v>1</v>
      </c>
      <c r="H4114" s="2">
        <v>1</v>
      </c>
    </row>
    <row r="4115" spans="1:8" x14ac:dyDescent="0.25">
      <c r="A4115" s="1" t="str">
        <f>"60421"</f>
        <v>60421</v>
      </c>
      <c r="B4115" s="1" t="str">
        <f t="shared" si="307"/>
        <v>16984</v>
      </c>
      <c r="C4115" s="1" t="str">
        <f>"ELWOOD"</f>
        <v>ELWOOD</v>
      </c>
      <c r="D4115" s="1" t="str">
        <f t="shared" si="308"/>
        <v>IL</v>
      </c>
      <c r="E4115" s="2">
        <v>1</v>
      </c>
      <c r="F4115" s="2">
        <v>1</v>
      </c>
      <c r="G4115" s="2">
        <v>1</v>
      </c>
      <c r="H4115" s="2">
        <v>1</v>
      </c>
    </row>
    <row r="4116" spans="1:8" x14ac:dyDescent="0.25">
      <c r="A4116" s="1" t="str">
        <f>"60491"</f>
        <v>60491</v>
      </c>
      <c r="B4116" s="1" t="str">
        <f t="shared" si="307"/>
        <v>16984</v>
      </c>
      <c r="C4116" s="1" t="str">
        <f>"HOMER GLEN"</f>
        <v>HOMER GLEN</v>
      </c>
      <c r="D4116" s="1" t="str">
        <f t="shared" si="308"/>
        <v>IL</v>
      </c>
      <c r="E4116" s="2">
        <v>1</v>
      </c>
      <c r="F4116" s="2">
        <v>1</v>
      </c>
      <c r="G4116" s="2">
        <v>1</v>
      </c>
      <c r="H4116" s="2">
        <v>1</v>
      </c>
    </row>
    <row r="4117" spans="1:8" x14ac:dyDescent="0.25">
      <c r="A4117" s="1" t="str">
        <f>"60484"</f>
        <v>60484</v>
      </c>
      <c r="B4117" s="1" t="str">
        <f t="shared" si="307"/>
        <v>16984</v>
      </c>
      <c r="C4117" s="1" t="str">
        <f>"UNIVERSITY PARK"</f>
        <v>UNIVERSITY PARK</v>
      </c>
      <c r="D4117" s="1" t="str">
        <f t="shared" si="308"/>
        <v>IL</v>
      </c>
      <c r="E4117" s="2">
        <v>1</v>
      </c>
      <c r="F4117" s="2">
        <v>1</v>
      </c>
      <c r="G4117" s="2">
        <v>1</v>
      </c>
      <c r="H4117" s="2">
        <v>1</v>
      </c>
    </row>
    <row r="4118" spans="1:8" x14ac:dyDescent="0.25">
      <c r="A4118" s="1" t="str">
        <f>"60469"</f>
        <v>60469</v>
      </c>
      <c r="B4118" s="1" t="str">
        <f t="shared" si="307"/>
        <v>16984</v>
      </c>
      <c r="C4118" s="1" t="str">
        <f>"POSEN"</f>
        <v>POSEN</v>
      </c>
      <c r="D4118" s="1" t="str">
        <f t="shared" si="308"/>
        <v>IL</v>
      </c>
      <c r="E4118" s="2">
        <v>1</v>
      </c>
      <c r="F4118" s="2">
        <v>1</v>
      </c>
      <c r="G4118" s="2">
        <v>1</v>
      </c>
      <c r="H4118" s="2">
        <v>1</v>
      </c>
    </row>
    <row r="4119" spans="1:8" x14ac:dyDescent="0.25">
      <c r="A4119" s="1" t="str">
        <f>"60053"</f>
        <v>60053</v>
      </c>
      <c r="B4119" s="1" t="str">
        <f t="shared" si="307"/>
        <v>16984</v>
      </c>
      <c r="C4119" s="1" t="str">
        <f>"MORTON GROVE"</f>
        <v>MORTON GROVE</v>
      </c>
      <c r="D4119" s="1" t="str">
        <f t="shared" si="308"/>
        <v>IL</v>
      </c>
      <c r="E4119" s="2">
        <v>1</v>
      </c>
      <c r="F4119" s="2">
        <v>1</v>
      </c>
      <c r="G4119" s="2">
        <v>1</v>
      </c>
      <c r="H4119" s="2">
        <v>1</v>
      </c>
    </row>
    <row r="4120" spans="1:8" x14ac:dyDescent="0.25">
      <c r="A4120" s="1" t="str">
        <f>"60135"</f>
        <v>60135</v>
      </c>
      <c r="B4120" s="1" t="str">
        <f>"20994"</f>
        <v>20994</v>
      </c>
      <c r="C4120" s="1" t="str">
        <f>"GENOA"</f>
        <v>GENOA</v>
      </c>
      <c r="D4120" s="1" t="str">
        <f t="shared" si="308"/>
        <v>IL</v>
      </c>
      <c r="E4120" s="2">
        <v>0.99744327261105703</v>
      </c>
      <c r="F4120" s="2">
        <v>1</v>
      </c>
      <c r="G4120" s="2">
        <v>1</v>
      </c>
      <c r="H4120" s="2">
        <v>0.99774838164931001</v>
      </c>
    </row>
    <row r="4121" spans="1:8" x14ac:dyDescent="0.25">
      <c r="A4121" s="1" t="str">
        <f>"60135"</f>
        <v>60135</v>
      </c>
      <c r="B4121" s="1" t="str">
        <f t="shared" ref="B4121:B4127" si="309">"16984"</f>
        <v>16984</v>
      </c>
      <c r="C4121" s="1" t="str">
        <f>"GENOA"</f>
        <v>GENOA</v>
      </c>
      <c r="D4121" s="1" t="str">
        <f t="shared" si="308"/>
        <v>IL</v>
      </c>
      <c r="E4121" s="2">
        <v>2.5567273889421501E-3</v>
      </c>
      <c r="F4121" s="2">
        <v>0</v>
      </c>
      <c r="G4121" s="2">
        <v>0</v>
      </c>
      <c r="H4121" s="2">
        <v>2.2516183506895498E-3</v>
      </c>
    </row>
    <row r="4122" spans="1:8" x14ac:dyDescent="0.25">
      <c r="A4122" s="1" t="str">
        <f>"60155"</f>
        <v>60155</v>
      </c>
      <c r="B4122" s="1" t="str">
        <f t="shared" si="309"/>
        <v>16984</v>
      </c>
      <c r="C4122" s="1" t="str">
        <f>"BROADVIEW"</f>
        <v>BROADVIEW</v>
      </c>
      <c r="D4122" s="1" t="str">
        <f t="shared" si="308"/>
        <v>IL</v>
      </c>
      <c r="E4122" s="2">
        <v>1</v>
      </c>
      <c r="F4122" s="2">
        <v>1</v>
      </c>
      <c r="G4122" s="2">
        <v>1</v>
      </c>
      <c r="H4122" s="2">
        <v>1</v>
      </c>
    </row>
    <row r="4123" spans="1:8" x14ac:dyDescent="0.25">
      <c r="A4123" s="1" t="str">
        <f>"60022"</f>
        <v>60022</v>
      </c>
      <c r="B4123" s="1" t="str">
        <f t="shared" si="309"/>
        <v>16984</v>
      </c>
      <c r="C4123" s="1" t="str">
        <f>"GLENCOE"</f>
        <v>GLENCOE</v>
      </c>
      <c r="D4123" s="1" t="str">
        <f t="shared" si="308"/>
        <v>IL</v>
      </c>
      <c r="E4123" s="2">
        <v>1</v>
      </c>
      <c r="F4123" s="2">
        <v>1</v>
      </c>
      <c r="G4123" s="2">
        <v>1</v>
      </c>
      <c r="H4123" s="2">
        <v>1</v>
      </c>
    </row>
    <row r="4124" spans="1:8" x14ac:dyDescent="0.25">
      <c r="A4124" s="1" t="str">
        <f>"60097"</f>
        <v>60097</v>
      </c>
      <c r="B4124" s="1" t="str">
        <f t="shared" si="309"/>
        <v>16984</v>
      </c>
      <c r="C4124" s="1" t="str">
        <f>"WONDER LAKE"</f>
        <v>WONDER LAKE</v>
      </c>
      <c r="D4124" s="1" t="str">
        <f t="shared" si="308"/>
        <v>IL</v>
      </c>
      <c r="E4124" s="2">
        <v>1</v>
      </c>
      <c r="F4124" s="2">
        <v>1</v>
      </c>
      <c r="G4124" s="2">
        <v>1</v>
      </c>
      <c r="H4124" s="2">
        <v>1</v>
      </c>
    </row>
    <row r="4125" spans="1:8" x14ac:dyDescent="0.25">
      <c r="A4125" s="1" t="str">
        <f>"60160"</f>
        <v>60160</v>
      </c>
      <c r="B4125" s="1" t="str">
        <f t="shared" si="309"/>
        <v>16984</v>
      </c>
      <c r="C4125" s="1" t="str">
        <f>"MELROSE PARK"</f>
        <v>MELROSE PARK</v>
      </c>
      <c r="D4125" s="1" t="str">
        <f t="shared" si="308"/>
        <v>IL</v>
      </c>
      <c r="E4125" s="2">
        <v>1</v>
      </c>
      <c r="F4125" s="2">
        <v>1</v>
      </c>
      <c r="G4125" s="2">
        <v>1</v>
      </c>
      <c r="H4125" s="2">
        <v>1</v>
      </c>
    </row>
    <row r="4126" spans="1:8" x14ac:dyDescent="0.25">
      <c r="A4126" s="1" t="str">
        <f>"60614"</f>
        <v>60614</v>
      </c>
      <c r="B4126" s="1" t="str">
        <f t="shared" si="309"/>
        <v>16984</v>
      </c>
      <c r="C4126" s="1" t="str">
        <f>"CHICAGO"</f>
        <v>CHICAGO</v>
      </c>
      <c r="D4126" s="1" t="str">
        <f t="shared" si="308"/>
        <v>IL</v>
      </c>
      <c r="E4126" s="2">
        <v>1</v>
      </c>
      <c r="F4126" s="2">
        <v>1</v>
      </c>
      <c r="G4126" s="2">
        <v>1</v>
      </c>
      <c r="H4126" s="2">
        <v>1</v>
      </c>
    </row>
    <row r="4127" spans="1:8" x14ac:dyDescent="0.25">
      <c r="A4127" s="1" t="str">
        <f>"60630"</f>
        <v>60630</v>
      </c>
      <c r="B4127" s="1" t="str">
        <f t="shared" si="309"/>
        <v>16984</v>
      </c>
      <c r="C4127" s="1" t="str">
        <f>"CHICAGO"</f>
        <v>CHICAGO</v>
      </c>
      <c r="D4127" s="1" t="str">
        <f t="shared" si="308"/>
        <v>IL</v>
      </c>
      <c r="E4127" s="2">
        <v>1</v>
      </c>
      <c r="F4127" s="2">
        <v>1</v>
      </c>
      <c r="G4127" s="2">
        <v>1</v>
      </c>
      <c r="H4127" s="2">
        <v>1</v>
      </c>
    </row>
    <row r="4128" spans="1:8" x14ac:dyDescent="0.25">
      <c r="A4128" s="1" t="str">
        <f>"75065"</f>
        <v>75065</v>
      </c>
      <c r="B4128" s="1" t="str">
        <f>"19124"</f>
        <v>19124</v>
      </c>
      <c r="C4128" s="1" t="str">
        <f>"LAKE DALLAS"</f>
        <v>LAKE DALLAS</v>
      </c>
      <c r="D4128" s="1" t="str">
        <f t="shared" ref="D4128:D4140" si="310">"TX"</f>
        <v>TX</v>
      </c>
      <c r="E4128" s="2">
        <v>1</v>
      </c>
      <c r="F4128" s="2">
        <v>1</v>
      </c>
      <c r="G4128" s="2">
        <v>1</v>
      </c>
      <c r="H4128" s="2">
        <v>1</v>
      </c>
    </row>
    <row r="4129" spans="1:8" x14ac:dyDescent="0.25">
      <c r="A4129" s="1" t="str">
        <f>"75218"</f>
        <v>75218</v>
      </c>
      <c r="B4129" s="1" t="str">
        <f>"19124"</f>
        <v>19124</v>
      </c>
      <c r="C4129" s="1" t="str">
        <f>"DALLAS"</f>
        <v>DALLAS</v>
      </c>
      <c r="D4129" s="1" t="str">
        <f t="shared" si="310"/>
        <v>TX</v>
      </c>
      <c r="E4129" s="2">
        <v>1</v>
      </c>
      <c r="F4129" s="2">
        <v>1</v>
      </c>
      <c r="G4129" s="2">
        <v>1</v>
      </c>
      <c r="H4129" s="2">
        <v>1</v>
      </c>
    </row>
    <row r="4130" spans="1:8" x14ac:dyDescent="0.25">
      <c r="A4130" s="1" t="str">
        <f>"75180"</f>
        <v>75180</v>
      </c>
      <c r="B4130" s="1" t="str">
        <f>"19124"</f>
        <v>19124</v>
      </c>
      <c r="C4130" s="1" t="str">
        <f>"BALCH SPRINGS"</f>
        <v>BALCH SPRINGS</v>
      </c>
      <c r="D4130" s="1" t="str">
        <f t="shared" si="310"/>
        <v>TX</v>
      </c>
      <c r="E4130" s="2">
        <v>1</v>
      </c>
      <c r="F4130" s="2">
        <v>1</v>
      </c>
      <c r="G4130" s="2">
        <v>1</v>
      </c>
      <c r="H4130" s="2">
        <v>1</v>
      </c>
    </row>
    <row r="4131" spans="1:8" x14ac:dyDescent="0.25">
      <c r="A4131" s="1" t="str">
        <f>"75181"</f>
        <v>75181</v>
      </c>
      <c r="B4131" s="1" t="str">
        <f>"19124"</f>
        <v>19124</v>
      </c>
      <c r="C4131" s="1" t="str">
        <f>"MESQUITE"</f>
        <v>MESQUITE</v>
      </c>
      <c r="D4131" s="1" t="str">
        <f t="shared" si="310"/>
        <v>TX</v>
      </c>
      <c r="E4131" s="2">
        <v>1</v>
      </c>
      <c r="F4131" s="2">
        <v>1</v>
      </c>
      <c r="G4131" s="2">
        <v>1</v>
      </c>
      <c r="H4131" s="2">
        <v>1</v>
      </c>
    </row>
    <row r="4132" spans="1:8" x14ac:dyDescent="0.25">
      <c r="A4132" s="1" t="str">
        <f>"76063"</f>
        <v>76063</v>
      </c>
      <c r="B4132" s="1" t="str">
        <f>"19124"</f>
        <v>19124</v>
      </c>
      <c r="C4132" s="1" t="str">
        <f>"MANSFIELD"</f>
        <v>MANSFIELD</v>
      </c>
      <c r="D4132" s="1" t="str">
        <f t="shared" si="310"/>
        <v>TX</v>
      </c>
      <c r="E4132" s="2">
        <v>7.0489734355280503E-3</v>
      </c>
      <c r="F4132" s="2">
        <v>1.2457178449081199E-3</v>
      </c>
      <c r="G4132" s="2">
        <v>2.6007802340702198E-3</v>
      </c>
      <c r="H4132" s="2">
        <v>6.4441824114953201E-3</v>
      </c>
    </row>
    <row r="4133" spans="1:8" x14ac:dyDescent="0.25">
      <c r="A4133" s="1" t="str">
        <f>"76063"</f>
        <v>76063</v>
      </c>
      <c r="B4133" s="1" t="str">
        <f>"23104"</f>
        <v>23104</v>
      </c>
      <c r="C4133" s="1" t="str">
        <f>"MANSFIELD"</f>
        <v>MANSFIELD</v>
      </c>
      <c r="D4133" s="1" t="str">
        <f t="shared" si="310"/>
        <v>TX</v>
      </c>
      <c r="E4133" s="2">
        <v>0.99295102656447098</v>
      </c>
      <c r="F4133" s="2">
        <v>0.99875428215509099</v>
      </c>
      <c r="G4133" s="2">
        <v>0.99739921976592905</v>
      </c>
      <c r="H4133" s="2">
        <v>0.99355581758850398</v>
      </c>
    </row>
    <row r="4134" spans="1:8" x14ac:dyDescent="0.25">
      <c r="A4134" s="1" t="str">
        <f>"76082"</f>
        <v>76082</v>
      </c>
      <c r="B4134" s="1" t="str">
        <f>"23104"</f>
        <v>23104</v>
      </c>
      <c r="C4134" s="1" t="str">
        <f>"SPRINGTOWN"</f>
        <v>SPRINGTOWN</v>
      </c>
      <c r="D4134" s="1" t="str">
        <f t="shared" si="310"/>
        <v>TX</v>
      </c>
      <c r="E4134" s="2">
        <v>1</v>
      </c>
      <c r="F4134" s="2">
        <v>1</v>
      </c>
      <c r="G4134" s="2">
        <v>1</v>
      </c>
      <c r="H4134" s="2">
        <v>1</v>
      </c>
    </row>
    <row r="4135" spans="1:8" x14ac:dyDescent="0.25">
      <c r="A4135" s="1" t="str">
        <f>"76087"</f>
        <v>76087</v>
      </c>
      <c r="B4135" s="1" t="str">
        <f>"23104"</f>
        <v>23104</v>
      </c>
      <c r="C4135" s="1" t="str">
        <f>"WEATHERFORD"</f>
        <v>WEATHERFORD</v>
      </c>
      <c r="D4135" s="1" t="str">
        <f t="shared" si="310"/>
        <v>TX</v>
      </c>
      <c r="E4135" s="2">
        <v>1</v>
      </c>
      <c r="F4135" s="2">
        <v>1</v>
      </c>
      <c r="G4135" s="2">
        <v>1</v>
      </c>
      <c r="H4135" s="2">
        <v>1</v>
      </c>
    </row>
    <row r="4136" spans="1:8" x14ac:dyDescent="0.25">
      <c r="A4136" s="1" t="str">
        <f>"76205"</f>
        <v>76205</v>
      </c>
      <c r="B4136" s="1" t="str">
        <f>"19124"</f>
        <v>19124</v>
      </c>
      <c r="C4136" s="1" t="str">
        <f>"DENTON"</f>
        <v>DENTON</v>
      </c>
      <c r="D4136" s="1" t="str">
        <f t="shared" si="310"/>
        <v>TX</v>
      </c>
      <c r="E4136" s="2">
        <v>1</v>
      </c>
      <c r="F4136" s="2">
        <v>1</v>
      </c>
      <c r="G4136" s="2">
        <v>1</v>
      </c>
      <c r="H4136" s="2">
        <v>1</v>
      </c>
    </row>
    <row r="4137" spans="1:8" x14ac:dyDescent="0.25">
      <c r="A4137" s="1" t="str">
        <f>"76207"</f>
        <v>76207</v>
      </c>
      <c r="B4137" s="1" t="str">
        <f>"19124"</f>
        <v>19124</v>
      </c>
      <c r="C4137" s="1" t="str">
        <f>"DENTON"</f>
        <v>DENTON</v>
      </c>
      <c r="D4137" s="1" t="str">
        <f t="shared" si="310"/>
        <v>TX</v>
      </c>
      <c r="E4137" s="2">
        <v>1</v>
      </c>
      <c r="F4137" s="2">
        <v>1</v>
      </c>
      <c r="G4137" s="2">
        <v>1</v>
      </c>
      <c r="H4137" s="2">
        <v>1</v>
      </c>
    </row>
    <row r="4138" spans="1:8" x14ac:dyDescent="0.25">
      <c r="A4138" s="1" t="str">
        <f>"76018"</f>
        <v>76018</v>
      </c>
      <c r="B4138" s="1" t="str">
        <f>"23104"</f>
        <v>23104</v>
      </c>
      <c r="C4138" s="1" t="str">
        <f>"ARLINGTON"</f>
        <v>ARLINGTON</v>
      </c>
      <c r="D4138" s="1" t="str">
        <f t="shared" si="310"/>
        <v>TX</v>
      </c>
      <c r="E4138" s="2">
        <v>1</v>
      </c>
      <c r="F4138" s="2">
        <v>1</v>
      </c>
      <c r="G4138" s="2">
        <v>1</v>
      </c>
      <c r="H4138" s="2">
        <v>1</v>
      </c>
    </row>
    <row r="4139" spans="1:8" x14ac:dyDescent="0.25">
      <c r="A4139" s="1" t="str">
        <f>"76105"</f>
        <v>76105</v>
      </c>
      <c r="B4139" s="1" t="str">
        <f>"23104"</f>
        <v>23104</v>
      </c>
      <c r="C4139" s="1" t="str">
        <f>"FORT WORTH"</f>
        <v>FORT WORTH</v>
      </c>
      <c r="D4139" s="1" t="str">
        <f t="shared" si="310"/>
        <v>TX</v>
      </c>
      <c r="E4139" s="2">
        <v>1</v>
      </c>
      <c r="F4139" s="2">
        <v>1</v>
      </c>
      <c r="G4139" s="2">
        <v>1</v>
      </c>
      <c r="H4139" s="2">
        <v>1</v>
      </c>
    </row>
    <row r="4140" spans="1:8" x14ac:dyDescent="0.25">
      <c r="A4140" s="1" t="str">
        <f>"76258"</f>
        <v>76258</v>
      </c>
      <c r="B4140" s="1" t="str">
        <f>"19124"</f>
        <v>19124</v>
      </c>
      <c r="C4140" s="1" t="str">
        <f>"PILOT POINT"</f>
        <v>PILOT POINT</v>
      </c>
      <c r="D4140" s="1" t="str">
        <f t="shared" si="310"/>
        <v>TX</v>
      </c>
      <c r="E4140" s="2">
        <v>1</v>
      </c>
      <c r="F4140" s="2">
        <v>1</v>
      </c>
      <c r="G4140" s="2">
        <v>1</v>
      </c>
      <c r="H4140" s="2">
        <v>1</v>
      </c>
    </row>
    <row r="4141" spans="1:8" x14ac:dyDescent="0.25">
      <c r="A4141" s="1" t="str">
        <f>"90020"</f>
        <v>90020</v>
      </c>
      <c r="B4141" s="1" t="str">
        <f>"31084"</f>
        <v>31084</v>
      </c>
      <c r="C4141" s="1" t="str">
        <f>"LOS ANGELES"</f>
        <v>LOS ANGELES</v>
      </c>
      <c r="D4141" s="1" t="str">
        <f t="shared" ref="D4141:D4157" si="311">"CA"</f>
        <v>CA</v>
      </c>
      <c r="E4141" s="2">
        <v>1</v>
      </c>
      <c r="F4141" s="2">
        <v>1</v>
      </c>
      <c r="G4141" s="2">
        <v>1</v>
      </c>
      <c r="H4141" s="2">
        <v>1</v>
      </c>
    </row>
    <row r="4142" spans="1:8" x14ac:dyDescent="0.25">
      <c r="A4142" s="1" t="str">
        <f>"90202"</f>
        <v>90202</v>
      </c>
      <c r="B4142" s="1" t="str">
        <f>"31084"</f>
        <v>31084</v>
      </c>
      <c r="C4142" s="1" t="str">
        <f>"BELL"</f>
        <v>BELL</v>
      </c>
      <c r="D4142" s="1" t="str">
        <f t="shared" si="311"/>
        <v>CA</v>
      </c>
      <c r="E4142" s="2">
        <v>1</v>
      </c>
      <c r="F4142" s="2">
        <v>1</v>
      </c>
      <c r="G4142" s="2">
        <v>1</v>
      </c>
      <c r="H4142" s="2">
        <v>1</v>
      </c>
    </row>
    <row r="4143" spans="1:8" x14ac:dyDescent="0.25">
      <c r="A4143" s="1" t="str">
        <f>"90093"</f>
        <v>90093</v>
      </c>
      <c r="B4143" s="1" t="str">
        <f>"31084"</f>
        <v>31084</v>
      </c>
      <c r="C4143" s="1" t="str">
        <f>"LOS ANGELES"</f>
        <v>LOS ANGELES</v>
      </c>
      <c r="D4143" s="1" t="str">
        <f t="shared" si="311"/>
        <v>CA</v>
      </c>
      <c r="E4143" s="2">
        <v>1</v>
      </c>
      <c r="F4143" s="2">
        <v>1</v>
      </c>
      <c r="G4143" s="2">
        <v>1</v>
      </c>
      <c r="H4143" s="2">
        <v>1</v>
      </c>
    </row>
    <row r="4144" spans="1:8" x14ac:dyDescent="0.25">
      <c r="A4144" s="1" t="str">
        <f>"90013"</f>
        <v>90013</v>
      </c>
      <c r="B4144" s="1" t="str">
        <f>"31084"</f>
        <v>31084</v>
      </c>
      <c r="C4144" s="1" t="str">
        <f>"LOS ANGELES"</f>
        <v>LOS ANGELES</v>
      </c>
      <c r="D4144" s="1" t="str">
        <f t="shared" si="311"/>
        <v>CA</v>
      </c>
      <c r="E4144" s="2">
        <v>1</v>
      </c>
      <c r="F4144" s="2">
        <v>1</v>
      </c>
      <c r="G4144" s="2">
        <v>1</v>
      </c>
      <c r="H4144" s="2">
        <v>1</v>
      </c>
    </row>
    <row r="4145" spans="1:8" x14ac:dyDescent="0.25">
      <c r="A4145" s="1" t="str">
        <f>"90680"</f>
        <v>90680</v>
      </c>
      <c r="B4145" s="1" t="str">
        <f>"11244"</f>
        <v>11244</v>
      </c>
      <c r="C4145" s="1" t="str">
        <f>"STANTON"</f>
        <v>STANTON</v>
      </c>
      <c r="D4145" s="1" t="str">
        <f t="shared" si="311"/>
        <v>CA</v>
      </c>
      <c r="E4145" s="2">
        <v>1</v>
      </c>
      <c r="F4145" s="2">
        <v>1</v>
      </c>
      <c r="G4145" s="2">
        <v>1</v>
      </c>
      <c r="H4145" s="2">
        <v>1</v>
      </c>
    </row>
    <row r="4146" spans="1:8" x14ac:dyDescent="0.25">
      <c r="A4146" s="1" t="str">
        <f>"90703"</f>
        <v>90703</v>
      </c>
      <c r="B4146" s="1" t="str">
        <f t="shared" ref="B4146:B4152" si="312">"31084"</f>
        <v>31084</v>
      </c>
      <c r="C4146" s="1" t="str">
        <f>"CERRITOS"</f>
        <v>CERRITOS</v>
      </c>
      <c r="D4146" s="1" t="str">
        <f t="shared" si="311"/>
        <v>CA</v>
      </c>
      <c r="E4146" s="2">
        <v>1</v>
      </c>
      <c r="F4146" s="2">
        <v>1</v>
      </c>
      <c r="G4146" s="2">
        <v>1</v>
      </c>
      <c r="H4146" s="2">
        <v>1</v>
      </c>
    </row>
    <row r="4147" spans="1:8" x14ac:dyDescent="0.25">
      <c r="A4147" s="1" t="str">
        <f>"91387"</f>
        <v>91387</v>
      </c>
      <c r="B4147" s="1" t="str">
        <f t="shared" si="312"/>
        <v>31084</v>
      </c>
      <c r="C4147" s="1" t="str">
        <f>"CANYON COUNTRY"</f>
        <v>CANYON COUNTRY</v>
      </c>
      <c r="D4147" s="1" t="str">
        <f t="shared" si="311"/>
        <v>CA</v>
      </c>
      <c r="E4147" s="2">
        <v>1</v>
      </c>
      <c r="F4147" s="2">
        <v>1</v>
      </c>
      <c r="G4147" s="2">
        <v>1</v>
      </c>
      <c r="H4147" s="2">
        <v>1</v>
      </c>
    </row>
    <row r="4148" spans="1:8" x14ac:dyDescent="0.25">
      <c r="A4148" s="1" t="str">
        <f>"93535"</f>
        <v>93535</v>
      </c>
      <c r="B4148" s="1" t="str">
        <f t="shared" si="312"/>
        <v>31084</v>
      </c>
      <c r="C4148" s="1" t="str">
        <f>"LANCASTER"</f>
        <v>LANCASTER</v>
      </c>
      <c r="D4148" s="1" t="str">
        <f t="shared" si="311"/>
        <v>CA</v>
      </c>
      <c r="E4148" s="2">
        <v>1</v>
      </c>
      <c r="F4148" s="2">
        <v>1</v>
      </c>
      <c r="G4148" s="2">
        <v>1</v>
      </c>
      <c r="H4148" s="2">
        <v>1</v>
      </c>
    </row>
    <row r="4149" spans="1:8" x14ac:dyDescent="0.25">
      <c r="A4149" s="1" t="str">
        <f>"93550"</f>
        <v>93550</v>
      </c>
      <c r="B4149" s="1" t="str">
        <f t="shared" si="312"/>
        <v>31084</v>
      </c>
      <c r="C4149" s="1" t="str">
        <f>"PALMDALE"</f>
        <v>PALMDALE</v>
      </c>
      <c r="D4149" s="1" t="str">
        <f t="shared" si="311"/>
        <v>CA</v>
      </c>
      <c r="E4149" s="2">
        <v>1</v>
      </c>
      <c r="F4149" s="2">
        <v>1</v>
      </c>
      <c r="G4149" s="2">
        <v>1</v>
      </c>
      <c r="H4149" s="2">
        <v>1</v>
      </c>
    </row>
    <row r="4150" spans="1:8" x14ac:dyDescent="0.25">
      <c r="A4150" s="1" t="str">
        <f>"91001"</f>
        <v>91001</v>
      </c>
      <c r="B4150" s="1" t="str">
        <f t="shared" si="312"/>
        <v>31084</v>
      </c>
      <c r="C4150" s="1" t="str">
        <f>"ALTADENA"</f>
        <v>ALTADENA</v>
      </c>
      <c r="D4150" s="1" t="str">
        <f t="shared" si="311"/>
        <v>CA</v>
      </c>
      <c r="E4150" s="2">
        <v>1</v>
      </c>
      <c r="F4150" s="2">
        <v>1</v>
      </c>
      <c r="G4150" s="2">
        <v>1</v>
      </c>
      <c r="H4150" s="2">
        <v>1</v>
      </c>
    </row>
    <row r="4151" spans="1:8" x14ac:dyDescent="0.25">
      <c r="A4151" s="1" t="str">
        <f>"91770"</f>
        <v>91770</v>
      </c>
      <c r="B4151" s="1" t="str">
        <f t="shared" si="312"/>
        <v>31084</v>
      </c>
      <c r="C4151" s="1" t="str">
        <f>"ROSEMEAD"</f>
        <v>ROSEMEAD</v>
      </c>
      <c r="D4151" s="1" t="str">
        <f t="shared" si="311"/>
        <v>CA</v>
      </c>
      <c r="E4151" s="2">
        <v>1</v>
      </c>
      <c r="F4151" s="2">
        <v>1</v>
      </c>
      <c r="G4151" s="2">
        <v>1</v>
      </c>
      <c r="H4151" s="2">
        <v>1</v>
      </c>
    </row>
    <row r="4152" spans="1:8" x14ac:dyDescent="0.25">
      <c r="A4152" s="1" t="str">
        <f>"91746"</f>
        <v>91746</v>
      </c>
      <c r="B4152" s="1" t="str">
        <f t="shared" si="312"/>
        <v>31084</v>
      </c>
      <c r="C4152" s="1" t="str">
        <f>"LA PUENTE"</f>
        <v>LA PUENTE</v>
      </c>
      <c r="D4152" s="1" t="str">
        <f t="shared" si="311"/>
        <v>CA</v>
      </c>
      <c r="E4152" s="2">
        <v>1</v>
      </c>
      <c r="F4152" s="2">
        <v>1</v>
      </c>
      <c r="G4152" s="2">
        <v>1</v>
      </c>
      <c r="H4152" s="2">
        <v>1</v>
      </c>
    </row>
    <row r="4153" spans="1:8" x14ac:dyDescent="0.25">
      <c r="A4153" s="1" t="str">
        <f>"92869"</f>
        <v>92869</v>
      </c>
      <c r="B4153" s="1" t="str">
        <f>"11244"</f>
        <v>11244</v>
      </c>
      <c r="C4153" s="1" t="str">
        <f>"ORANGE"</f>
        <v>ORANGE</v>
      </c>
      <c r="D4153" s="1" t="str">
        <f t="shared" si="311"/>
        <v>CA</v>
      </c>
      <c r="E4153" s="2">
        <v>1</v>
      </c>
      <c r="F4153" s="2">
        <v>1</v>
      </c>
      <c r="G4153" s="2">
        <v>1</v>
      </c>
      <c r="H4153" s="2">
        <v>1</v>
      </c>
    </row>
    <row r="4154" spans="1:8" x14ac:dyDescent="0.25">
      <c r="A4154" s="1" t="str">
        <f>"94116"</f>
        <v>94116</v>
      </c>
      <c r="B4154" s="1" t="str">
        <f>"41884"</f>
        <v>41884</v>
      </c>
      <c r="C4154" s="1" t="str">
        <f>"SAN FRANCISCO"</f>
        <v>SAN FRANCISCO</v>
      </c>
      <c r="D4154" s="1" t="str">
        <f t="shared" si="311"/>
        <v>CA</v>
      </c>
      <c r="E4154" s="2">
        <v>1</v>
      </c>
      <c r="F4154" s="2">
        <v>1</v>
      </c>
      <c r="G4154" s="2">
        <v>1</v>
      </c>
      <c r="H4154" s="2">
        <v>1</v>
      </c>
    </row>
    <row r="4155" spans="1:8" x14ac:dyDescent="0.25">
      <c r="A4155" s="1" t="str">
        <f>"94522"</f>
        <v>94522</v>
      </c>
      <c r="B4155" s="1" t="str">
        <f>"36084"</f>
        <v>36084</v>
      </c>
      <c r="C4155" s="1" t="str">
        <f>"CONCORD"</f>
        <v>CONCORD</v>
      </c>
      <c r="D4155" s="1" t="str">
        <f t="shared" si="311"/>
        <v>CA</v>
      </c>
      <c r="E4155" s="2">
        <v>1</v>
      </c>
      <c r="F4155" s="2">
        <v>1</v>
      </c>
      <c r="G4155" s="2">
        <v>1</v>
      </c>
      <c r="H4155" s="2">
        <v>1</v>
      </c>
    </row>
    <row r="4156" spans="1:8" x14ac:dyDescent="0.25">
      <c r="A4156" s="1" t="str">
        <f>"94945"</f>
        <v>94945</v>
      </c>
      <c r="B4156" s="1" t="str">
        <f>"42034"</f>
        <v>42034</v>
      </c>
      <c r="C4156" s="1" t="str">
        <f>"NOVATO"</f>
        <v>NOVATO</v>
      </c>
      <c r="D4156" s="1" t="str">
        <f t="shared" si="311"/>
        <v>CA</v>
      </c>
      <c r="E4156" s="2">
        <v>1</v>
      </c>
      <c r="F4156" s="2">
        <v>1</v>
      </c>
      <c r="G4156" s="2">
        <v>1</v>
      </c>
      <c r="H4156" s="2">
        <v>1</v>
      </c>
    </row>
    <row r="4157" spans="1:8" x14ac:dyDescent="0.25">
      <c r="A4157" s="1" t="str">
        <f>"94583"</f>
        <v>94583</v>
      </c>
      <c r="B4157" s="1" t="str">
        <f>"36084"</f>
        <v>36084</v>
      </c>
      <c r="C4157" s="1" t="str">
        <f>"SAN RAMON"</f>
        <v>SAN RAMON</v>
      </c>
      <c r="D4157" s="1" t="str">
        <f t="shared" si="311"/>
        <v>CA</v>
      </c>
      <c r="E4157" s="2">
        <v>1</v>
      </c>
      <c r="F4157" s="2">
        <v>1</v>
      </c>
      <c r="G4157" s="2">
        <v>1</v>
      </c>
      <c r="H4157" s="2">
        <v>1</v>
      </c>
    </row>
    <row r="4158" spans="1:8" x14ac:dyDescent="0.25">
      <c r="A4158" s="1" t="str">
        <f>"98003"</f>
        <v>98003</v>
      </c>
      <c r="B4158" s="1" t="str">
        <f>"42644"</f>
        <v>42644</v>
      </c>
      <c r="C4158" s="1" t="str">
        <f>"FEDERAL WAY"</f>
        <v>FEDERAL WAY</v>
      </c>
      <c r="D4158" s="1" t="str">
        <f>"WA"</f>
        <v>WA</v>
      </c>
      <c r="E4158" s="2">
        <v>1</v>
      </c>
      <c r="F4158" s="2">
        <v>1</v>
      </c>
      <c r="G4158" s="2">
        <v>1</v>
      </c>
      <c r="H4158" s="2">
        <v>1</v>
      </c>
    </row>
    <row r="4159" spans="1:8" x14ac:dyDescent="0.25">
      <c r="A4159" s="1" t="str">
        <f>"98072"</f>
        <v>98072</v>
      </c>
      <c r="B4159" s="1" t="str">
        <f>"42644"</f>
        <v>42644</v>
      </c>
      <c r="C4159" s="1" t="str">
        <f>"WOODINVILLE"</f>
        <v>WOODINVILLE</v>
      </c>
      <c r="D4159" s="1" t="str">
        <f>"WA"</f>
        <v>WA</v>
      </c>
      <c r="E4159" s="2">
        <v>1</v>
      </c>
      <c r="F4159" s="2">
        <v>1</v>
      </c>
      <c r="G4159" s="2">
        <v>1</v>
      </c>
      <c r="H4159" s="2">
        <v>1</v>
      </c>
    </row>
    <row r="4160" spans="1:8" x14ac:dyDescent="0.25">
      <c r="A4160" s="1" t="str">
        <f>"98360"</f>
        <v>98360</v>
      </c>
      <c r="B4160" s="1" t="str">
        <f>"45104"</f>
        <v>45104</v>
      </c>
      <c r="C4160" s="1" t="str">
        <f>"ORTING"</f>
        <v>ORTING</v>
      </c>
      <c r="D4160" s="1" t="str">
        <f>"WA"</f>
        <v>WA</v>
      </c>
      <c r="E4160" s="2">
        <v>1</v>
      </c>
      <c r="F4160" s="2">
        <v>1</v>
      </c>
      <c r="G4160" s="2">
        <v>1</v>
      </c>
      <c r="H4160" s="2">
        <v>1</v>
      </c>
    </row>
    <row r="4161" spans="1:8" x14ac:dyDescent="0.25">
      <c r="A4161" s="1" t="str">
        <f>"98112"</f>
        <v>98112</v>
      </c>
      <c r="B4161" s="1" t="str">
        <f>"42644"</f>
        <v>42644</v>
      </c>
      <c r="C4161" s="1" t="str">
        <f>"SEATTLE"</f>
        <v>SEATTLE</v>
      </c>
      <c r="D4161" s="1" t="str">
        <f>"WA"</f>
        <v>WA</v>
      </c>
      <c r="E4161" s="2">
        <v>1</v>
      </c>
      <c r="F4161" s="2">
        <v>1</v>
      </c>
      <c r="G4161" s="2">
        <v>1</v>
      </c>
      <c r="H4161" s="2">
        <v>1</v>
      </c>
    </row>
    <row r="4162" spans="1:8" x14ac:dyDescent="0.25">
      <c r="A4162" s="1" t="str">
        <f>"02041"</f>
        <v>02041</v>
      </c>
      <c r="B4162" s="1" t="str">
        <f>"14454"</f>
        <v>14454</v>
      </c>
      <c r="C4162" s="1" t="str">
        <f>"GREEN HARBOR"</f>
        <v>GREEN HARBOR</v>
      </c>
      <c r="D4162" s="1" t="str">
        <f>"MA"</f>
        <v>MA</v>
      </c>
      <c r="E4162" s="2">
        <v>1</v>
      </c>
      <c r="F4162" s="2">
        <v>1</v>
      </c>
      <c r="G4162" s="2">
        <v>1</v>
      </c>
      <c r="H4162" s="2">
        <v>1</v>
      </c>
    </row>
    <row r="4163" spans="1:8" x14ac:dyDescent="0.25">
      <c r="A4163" s="1" t="str">
        <f>"07544"</f>
        <v>07544</v>
      </c>
      <c r="B4163" s="1" t="str">
        <f>"35614"</f>
        <v>35614</v>
      </c>
      <c r="C4163" s="1" t="str">
        <f>"PATERSON"</f>
        <v>PATERSON</v>
      </c>
      <c r="D4163" s="1" t="str">
        <f>"NJ"</f>
        <v>NJ</v>
      </c>
      <c r="E4163" s="2">
        <v>1</v>
      </c>
      <c r="F4163" s="2">
        <v>1</v>
      </c>
      <c r="G4163" s="2">
        <v>1</v>
      </c>
      <c r="H4163" s="2">
        <v>1</v>
      </c>
    </row>
    <row r="4164" spans="1:8" x14ac:dyDescent="0.25">
      <c r="A4164" s="1" t="str">
        <f>"08872"</f>
        <v>08872</v>
      </c>
      <c r="B4164" s="1" t="str">
        <f>"35154"</f>
        <v>35154</v>
      </c>
      <c r="C4164" s="1" t="str">
        <f>"SAYREVILLE"</f>
        <v>SAYREVILLE</v>
      </c>
      <c r="D4164" s="1" t="str">
        <f>"NJ"</f>
        <v>NJ</v>
      </c>
      <c r="E4164" s="2">
        <v>1</v>
      </c>
      <c r="F4164" s="2">
        <v>1</v>
      </c>
      <c r="G4164" s="2">
        <v>1</v>
      </c>
      <c r="H4164" s="2">
        <v>1</v>
      </c>
    </row>
    <row r="4165" spans="1:8" x14ac:dyDescent="0.25">
      <c r="A4165" s="1" t="str">
        <f>"10199"</f>
        <v>10199</v>
      </c>
      <c r="B4165" s="1" t="str">
        <f>"35614"</f>
        <v>35614</v>
      </c>
      <c r="C4165" s="1" t="str">
        <f>"NEW YORK"</f>
        <v>NEW YORK</v>
      </c>
      <c r="D4165" s="1" t="str">
        <f>"NY"</f>
        <v>NY</v>
      </c>
      <c r="E4165" s="2">
        <v>0</v>
      </c>
      <c r="F4165" s="2">
        <v>1</v>
      </c>
      <c r="G4165" s="2">
        <v>1</v>
      </c>
      <c r="H4165" s="2">
        <v>1</v>
      </c>
    </row>
    <row r="4166" spans="1:8" x14ac:dyDescent="0.25">
      <c r="A4166" s="1" t="str">
        <f>"11509"</f>
        <v>11509</v>
      </c>
      <c r="B4166" s="1" t="str">
        <f>"35004"</f>
        <v>35004</v>
      </c>
      <c r="C4166" s="1" t="str">
        <f>"ATLANTIC BEACH"</f>
        <v>ATLANTIC BEACH</v>
      </c>
      <c r="D4166" s="1" t="str">
        <f>"NY"</f>
        <v>NY</v>
      </c>
      <c r="E4166" s="2">
        <v>1</v>
      </c>
      <c r="F4166" s="2">
        <v>1</v>
      </c>
      <c r="G4166" s="2">
        <v>1</v>
      </c>
      <c r="H4166" s="2">
        <v>1</v>
      </c>
    </row>
    <row r="4167" spans="1:8" x14ac:dyDescent="0.25">
      <c r="A4167" s="1" t="str">
        <f>"18977"</f>
        <v>18977</v>
      </c>
      <c r="B4167" s="1" t="str">
        <f>"33874"</f>
        <v>33874</v>
      </c>
      <c r="C4167" s="1" t="str">
        <f>"WASHINGTON CROSSING"</f>
        <v>WASHINGTON CROSSING</v>
      </c>
      <c r="D4167" s="1" t="str">
        <f>"PA"</f>
        <v>PA</v>
      </c>
      <c r="E4167" s="2">
        <v>1</v>
      </c>
      <c r="F4167" s="2">
        <v>1</v>
      </c>
      <c r="G4167" s="2">
        <v>1</v>
      </c>
      <c r="H4167" s="2">
        <v>1</v>
      </c>
    </row>
    <row r="4168" spans="1:8" x14ac:dyDescent="0.25">
      <c r="A4168" s="1" t="str">
        <f>"33427"</f>
        <v>33427</v>
      </c>
      <c r="B4168" s="1" t="str">
        <f>"48424"</f>
        <v>48424</v>
      </c>
      <c r="C4168" s="1" t="str">
        <f>"BOCA RATON"</f>
        <v>BOCA RATON</v>
      </c>
      <c r="D4168" s="1" t="str">
        <f>"FL"</f>
        <v>FL</v>
      </c>
      <c r="E4168" s="2">
        <v>1</v>
      </c>
      <c r="F4168" s="2">
        <v>1</v>
      </c>
      <c r="G4168" s="2">
        <v>1</v>
      </c>
      <c r="H4168" s="2">
        <v>1</v>
      </c>
    </row>
    <row r="4169" spans="1:8" x14ac:dyDescent="0.25">
      <c r="A4169" s="1" t="str">
        <f>"76163"</f>
        <v>76163</v>
      </c>
      <c r="B4169" s="1" t="str">
        <f>"23104"</f>
        <v>23104</v>
      </c>
      <c r="C4169" s="1" t="str">
        <f>"FORT WORTH"</f>
        <v>FORT WORTH</v>
      </c>
      <c r="D4169" s="1" t="str">
        <f>"TX"</f>
        <v>TX</v>
      </c>
      <c r="E4169" s="2">
        <v>1</v>
      </c>
      <c r="F4169" s="2">
        <v>1</v>
      </c>
      <c r="G4169" s="2">
        <v>1</v>
      </c>
      <c r="H4169" s="2">
        <v>1</v>
      </c>
    </row>
    <row r="4170" spans="1:8" x14ac:dyDescent="0.25">
      <c r="A4170" s="1" t="str">
        <f>"90051"</f>
        <v>90051</v>
      </c>
      <c r="B4170" s="1" t="str">
        <f>"31084"</f>
        <v>31084</v>
      </c>
      <c r="C4170" s="1" t="str">
        <f>"LOS ANGELES"</f>
        <v>LOS ANGELES</v>
      </c>
      <c r="D4170" s="1" t="str">
        <f>"CA"</f>
        <v>CA</v>
      </c>
      <c r="E4170" s="2">
        <v>1</v>
      </c>
      <c r="F4170" s="2">
        <v>1</v>
      </c>
      <c r="G4170" s="2">
        <v>1</v>
      </c>
      <c r="H4170" s="2">
        <v>1</v>
      </c>
    </row>
    <row r="4171" spans="1:8" x14ac:dyDescent="0.25">
      <c r="A4171" s="1" t="str">
        <f>"90853"</f>
        <v>90853</v>
      </c>
      <c r="B4171" s="1" t="str">
        <f>"31084"</f>
        <v>31084</v>
      </c>
      <c r="C4171" s="1" t="str">
        <f>"LONG BEACH"</f>
        <v>LONG BEACH</v>
      </c>
      <c r="D4171" s="1" t="str">
        <f>"CA"</f>
        <v>CA</v>
      </c>
      <c r="E4171" s="2">
        <v>1</v>
      </c>
      <c r="F4171" s="2">
        <v>1</v>
      </c>
      <c r="G4171" s="2">
        <v>1</v>
      </c>
      <c r="H4171" s="2">
        <v>1</v>
      </c>
    </row>
    <row r="4172" spans="1:8" x14ac:dyDescent="0.25">
      <c r="A4172" s="1" t="str">
        <f>"91333"</f>
        <v>91333</v>
      </c>
      <c r="B4172" s="1" t="str">
        <f>"31084"</f>
        <v>31084</v>
      </c>
      <c r="C4172" s="1" t="str">
        <f>"PACOIMA"</f>
        <v>PACOIMA</v>
      </c>
      <c r="D4172" s="1" t="str">
        <f>"CA"</f>
        <v>CA</v>
      </c>
      <c r="E4172" s="2">
        <v>1</v>
      </c>
      <c r="F4172" s="2">
        <v>1</v>
      </c>
      <c r="G4172" s="2">
        <v>1</v>
      </c>
      <c r="H4172" s="2">
        <v>1</v>
      </c>
    </row>
    <row r="4173" spans="1:8" x14ac:dyDescent="0.25">
      <c r="A4173" s="1" t="str">
        <f>"92885"</f>
        <v>92885</v>
      </c>
      <c r="B4173" s="1" t="str">
        <f>"11244"</f>
        <v>11244</v>
      </c>
      <c r="C4173" s="1" t="str">
        <f>"YORBA LINDA"</f>
        <v>YORBA LINDA</v>
      </c>
      <c r="D4173" s="1" t="str">
        <f>"CA"</f>
        <v>CA</v>
      </c>
      <c r="E4173" s="2">
        <v>1</v>
      </c>
      <c r="F4173" s="2">
        <v>1</v>
      </c>
      <c r="G4173" s="2">
        <v>1</v>
      </c>
      <c r="H4173" s="2">
        <v>1</v>
      </c>
    </row>
    <row r="4174" spans="1:8" x14ac:dyDescent="0.25">
      <c r="A4174" s="1" t="str">
        <f>"75491"</f>
        <v>75491</v>
      </c>
      <c r="B4174" s="1" t="str">
        <f>"19124"</f>
        <v>19124</v>
      </c>
      <c r="C4174" s="1" t="str">
        <f>"WHITEWRIGHT"</f>
        <v>WHITEWRIGHT</v>
      </c>
      <c r="D4174" s="1" t="str">
        <f>"TX"</f>
        <v>TX</v>
      </c>
      <c r="E4174" s="2">
        <v>1</v>
      </c>
      <c r="F4174" s="2">
        <v>0</v>
      </c>
      <c r="G4174" s="2">
        <v>0</v>
      </c>
      <c r="H4174" s="2">
        <v>1</v>
      </c>
    </row>
    <row r="4175" spans="1:8" x14ac:dyDescent="0.25">
      <c r="A4175" s="1" t="str">
        <f>"90078"</f>
        <v>90078</v>
      </c>
      <c r="B4175" s="1" t="str">
        <f>"31084"</f>
        <v>31084</v>
      </c>
      <c r="C4175" s="1" t="str">
        <f>"LOS ANGELES"</f>
        <v>LOS ANGELES</v>
      </c>
      <c r="D4175" s="1" t="str">
        <f>"CA"</f>
        <v>CA</v>
      </c>
      <c r="E4175" s="2">
        <v>1</v>
      </c>
      <c r="F4175" s="2">
        <v>1</v>
      </c>
      <c r="G4175" s="2">
        <v>1</v>
      </c>
      <c r="H4175" s="2">
        <v>1</v>
      </c>
    </row>
    <row r="4176" spans="1:8" x14ac:dyDescent="0.25">
      <c r="A4176" s="1" t="str">
        <f>"22122"</f>
        <v>22122</v>
      </c>
      <c r="B4176" s="1" t="str">
        <f>"47894"</f>
        <v>47894</v>
      </c>
      <c r="C4176" s="1" t="str">
        <f>"NEWINGTON"</f>
        <v>NEWINGTON</v>
      </c>
      <c r="D4176" s="1" t="str">
        <f>"VA"</f>
        <v>VA</v>
      </c>
      <c r="E4176" s="2">
        <v>1</v>
      </c>
      <c r="F4176" s="2">
        <v>1</v>
      </c>
      <c r="G4176" s="2">
        <v>1</v>
      </c>
      <c r="H4176" s="2">
        <v>1</v>
      </c>
    </row>
    <row r="4177" spans="1:8" x14ac:dyDescent="0.25">
      <c r="A4177" s="1" t="str">
        <f>"94020"</f>
        <v>94020</v>
      </c>
      <c r="B4177" s="1" t="str">
        <f>"41884"</f>
        <v>41884</v>
      </c>
      <c r="C4177" s="1" t="str">
        <f>"LA HONDA"</f>
        <v>LA HONDA</v>
      </c>
      <c r="D4177" s="1" t="str">
        <f>"CA"</f>
        <v>CA</v>
      </c>
      <c r="E4177" s="2">
        <v>1</v>
      </c>
      <c r="F4177" s="2">
        <v>1</v>
      </c>
      <c r="G4177" s="2">
        <v>1</v>
      </c>
      <c r="H4177" s="2">
        <v>1</v>
      </c>
    </row>
    <row r="4178" spans="1:8" x14ac:dyDescent="0.25">
      <c r="A4178" s="1" t="str">
        <f>"20625"</f>
        <v>20625</v>
      </c>
      <c r="B4178" s="1" t="str">
        <f>"47894"</f>
        <v>47894</v>
      </c>
      <c r="C4178" s="1" t="str">
        <f>"COBB ISLAND"</f>
        <v>COBB ISLAND</v>
      </c>
      <c r="D4178" s="1" t="str">
        <f>"MD"</f>
        <v>MD</v>
      </c>
      <c r="E4178" s="2">
        <v>1</v>
      </c>
      <c r="F4178" s="2">
        <v>1</v>
      </c>
      <c r="G4178" s="2">
        <v>1</v>
      </c>
      <c r="H4178" s="2">
        <v>1</v>
      </c>
    </row>
    <row r="4179" spans="1:8" x14ac:dyDescent="0.25">
      <c r="A4179" s="1" t="str">
        <f>"46381"</f>
        <v>46381</v>
      </c>
      <c r="B4179" s="1" t="str">
        <f>"23844"</f>
        <v>23844</v>
      </c>
      <c r="C4179" s="1" t="str">
        <f>"THAYER"</f>
        <v>THAYER</v>
      </c>
      <c r="D4179" s="1" t="str">
        <f>"IN"</f>
        <v>IN</v>
      </c>
      <c r="E4179" s="2">
        <v>1</v>
      </c>
      <c r="F4179" s="2">
        <v>1</v>
      </c>
      <c r="G4179" s="2">
        <v>1</v>
      </c>
      <c r="H4179" s="2">
        <v>1</v>
      </c>
    </row>
    <row r="4180" spans="1:8" x14ac:dyDescent="0.25">
      <c r="A4180" s="1" t="str">
        <f>"01822"</f>
        <v>01822</v>
      </c>
      <c r="B4180" s="1" t="str">
        <f>"15764"</f>
        <v>15764</v>
      </c>
      <c r="C4180" s="1" t="str">
        <f>"BILLERICA"</f>
        <v>BILLERICA</v>
      </c>
      <c r="D4180" s="1" t="str">
        <f>"MA"</f>
        <v>MA</v>
      </c>
      <c r="E4180" s="2">
        <v>1</v>
      </c>
      <c r="F4180" s="2">
        <v>1</v>
      </c>
      <c r="G4180" s="2">
        <v>1</v>
      </c>
      <c r="H4180" s="2">
        <v>1</v>
      </c>
    </row>
    <row r="4181" spans="1:8" x14ac:dyDescent="0.25">
      <c r="A4181" s="1" t="str">
        <f>"22643"</f>
        <v>22643</v>
      </c>
      <c r="B4181" s="1" t="str">
        <f>"47894"</f>
        <v>47894</v>
      </c>
      <c r="C4181" s="1" t="str">
        <f>"MARKHAM"</f>
        <v>MARKHAM</v>
      </c>
      <c r="D4181" s="1" t="str">
        <f>"VA"</f>
        <v>VA</v>
      </c>
      <c r="E4181" s="2">
        <v>1</v>
      </c>
      <c r="F4181" s="2">
        <v>1</v>
      </c>
      <c r="G4181" s="2">
        <v>1</v>
      </c>
      <c r="H4181" s="2">
        <v>1</v>
      </c>
    </row>
    <row r="4182" spans="1:8" x14ac:dyDescent="0.25">
      <c r="A4182" s="1" t="str">
        <f>"19890"</f>
        <v>19890</v>
      </c>
      <c r="B4182" s="1" t="str">
        <f>"48864"</f>
        <v>48864</v>
      </c>
      <c r="C4182" s="1" t="str">
        <f>"WILMINGTON"</f>
        <v>WILMINGTON</v>
      </c>
      <c r="D4182" s="1" t="str">
        <f>"DE"</f>
        <v>DE</v>
      </c>
      <c r="E4182" s="2">
        <v>0</v>
      </c>
      <c r="F4182" s="2">
        <v>1</v>
      </c>
      <c r="G4182" s="2">
        <v>0</v>
      </c>
      <c r="H4182" s="2">
        <v>1</v>
      </c>
    </row>
    <row r="4183" spans="1:8" x14ac:dyDescent="0.25">
      <c r="A4183" s="1" t="str">
        <f>"60122"</f>
        <v>60122</v>
      </c>
      <c r="B4183" s="1" t="str">
        <f>"16984"</f>
        <v>16984</v>
      </c>
      <c r="C4183" s="1" t="str">
        <f>"CAROL STREAM"</f>
        <v>CAROL STREAM</v>
      </c>
      <c r="D4183" s="1" t="str">
        <f>"IL"</f>
        <v>IL</v>
      </c>
      <c r="E4183" s="2">
        <v>0</v>
      </c>
      <c r="F4183" s="2">
        <v>1</v>
      </c>
      <c r="G4183" s="2">
        <v>1</v>
      </c>
      <c r="H4183" s="2">
        <v>1</v>
      </c>
    </row>
    <row r="4184" spans="1:8" x14ac:dyDescent="0.25">
      <c r="A4184" s="1" t="str">
        <f>"91114"</f>
        <v>91114</v>
      </c>
      <c r="B4184" s="1" t="str">
        <f>"31084"</f>
        <v>31084</v>
      </c>
      <c r="C4184" s="1" t="str">
        <f>"PASADENA"</f>
        <v>PASADENA</v>
      </c>
      <c r="D4184" s="1" t="str">
        <f>"CA"</f>
        <v>CA</v>
      </c>
      <c r="E4184" s="2">
        <v>1</v>
      </c>
      <c r="F4184" s="2">
        <v>1</v>
      </c>
      <c r="G4184" s="2">
        <v>1</v>
      </c>
      <c r="H4184" s="2">
        <v>1</v>
      </c>
    </row>
    <row r="4185" spans="1:8" x14ac:dyDescent="0.25">
      <c r="A4185" s="1" t="str">
        <f>"19543"</f>
        <v>19543</v>
      </c>
      <c r="B4185" s="1" t="str">
        <f>"33874"</f>
        <v>33874</v>
      </c>
      <c r="C4185" s="1" t="str">
        <f>"MORGANTOWN"</f>
        <v>MORGANTOWN</v>
      </c>
      <c r="D4185" s="1" t="str">
        <f>"PA"</f>
        <v>PA</v>
      </c>
      <c r="E4185" s="2">
        <v>1</v>
      </c>
      <c r="F4185" s="2">
        <v>1</v>
      </c>
      <c r="G4185" s="2">
        <v>0</v>
      </c>
      <c r="H4185" s="2">
        <v>1</v>
      </c>
    </row>
    <row r="4186" spans="1:8" x14ac:dyDescent="0.25">
      <c r="A4186" s="1" t="str">
        <f>"98068"</f>
        <v>98068</v>
      </c>
      <c r="B4186" s="1" t="str">
        <f>"42644"</f>
        <v>42644</v>
      </c>
      <c r="C4186" s="1" t="str">
        <f>"SNOQUALMIE PASS"</f>
        <v>SNOQUALMIE PASS</v>
      </c>
      <c r="D4186" s="1" t="str">
        <f>"WA"</f>
        <v>WA</v>
      </c>
      <c r="E4186" s="2">
        <v>0</v>
      </c>
      <c r="F4186" s="2">
        <v>0</v>
      </c>
      <c r="G4186" s="2">
        <v>1</v>
      </c>
      <c r="H4186" s="2">
        <v>1</v>
      </c>
    </row>
    <row r="4187" spans="1:8" x14ac:dyDescent="0.25">
      <c r="A4187" s="1" t="str">
        <f>"94948"</f>
        <v>94948</v>
      </c>
      <c r="B4187" s="1" t="str">
        <f>"42034"</f>
        <v>42034</v>
      </c>
      <c r="C4187" s="1" t="str">
        <f>"NOVATO"</f>
        <v>NOVATO</v>
      </c>
      <c r="D4187" s="1" t="str">
        <f>"CA"</f>
        <v>CA</v>
      </c>
      <c r="E4187" s="2">
        <v>1</v>
      </c>
      <c r="F4187" s="2">
        <v>1</v>
      </c>
      <c r="G4187" s="2">
        <v>1</v>
      </c>
      <c r="H4187" s="2">
        <v>1</v>
      </c>
    </row>
    <row r="4188" spans="1:8" x14ac:dyDescent="0.25">
      <c r="A4188" s="1" t="str">
        <f>"20586"</f>
        <v>20586</v>
      </c>
      <c r="B4188" s="1" t="str">
        <f>"47894"</f>
        <v>47894</v>
      </c>
      <c r="C4188" s="1" t="str">
        <f>"WASHINGTON"</f>
        <v>WASHINGTON</v>
      </c>
      <c r="D4188" s="1" t="str">
        <f>"DC"</f>
        <v>DC</v>
      </c>
      <c r="E4188" s="2">
        <v>0</v>
      </c>
      <c r="F4188" s="2">
        <v>1</v>
      </c>
      <c r="G4188" s="2">
        <v>0</v>
      </c>
      <c r="H4188" s="2">
        <v>1</v>
      </c>
    </row>
    <row r="4189" spans="1:8" x14ac:dyDescent="0.25">
      <c r="A4189" s="1" t="str">
        <f>"94064"</f>
        <v>94064</v>
      </c>
      <c r="B4189" s="1" t="str">
        <f>"41884"</f>
        <v>41884</v>
      </c>
      <c r="C4189" s="1" t="str">
        <f>"REDWOOD CITY"</f>
        <v>REDWOOD CITY</v>
      </c>
      <c r="D4189" s="1" t="str">
        <f>"CA"</f>
        <v>CA</v>
      </c>
      <c r="E4189" s="2">
        <v>1</v>
      </c>
      <c r="F4189" s="2">
        <v>1</v>
      </c>
      <c r="G4189" s="2">
        <v>1</v>
      </c>
      <c r="H4189" s="2">
        <v>1</v>
      </c>
    </row>
    <row r="4190" spans="1:8" x14ac:dyDescent="0.25">
      <c r="A4190" s="1" t="str">
        <f>"18042"</f>
        <v>18042</v>
      </c>
      <c r="B4190" s="1" t="str">
        <f>"33874"</f>
        <v>33874</v>
      </c>
      <c r="C4190" s="1" t="str">
        <f>"EASTON"</f>
        <v>EASTON</v>
      </c>
      <c r="D4190" s="1" t="str">
        <f>"PA"</f>
        <v>PA</v>
      </c>
      <c r="E4190" s="2">
        <v>1</v>
      </c>
      <c r="F4190" s="2">
        <v>0</v>
      </c>
      <c r="G4190" s="2">
        <v>0</v>
      </c>
      <c r="H4190" s="2">
        <v>1</v>
      </c>
    </row>
    <row r="4191" spans="1:8" x14ac:dyDescent="0.25">
      <c r="A4191" s="1" t="str">
        <f>"93063"</f>
        <v>93063</v>
      </c>
      <c r="B4191" s="1" t="str">
        <f>"31084"</f>
        <v>31084</v>
      </c>
      <c r="C4191" s="1" t="str">
        <f>"SIMI VALLEY"</f>
        <v>SIMI VALLEY</v>
      </c>
      <c r="D4191" s="1" t="str">
        <f>"CA"</f>
        <v>CA</v>
      </c>
      <c r="E4191" s="2">
        <v>1</v>
      </c>
      <c r="F4191" s="2">
        <v>0</v>
      </c>
      <c r="G4191" s="2">
        <v>0</v>
      </c>
      <c r="H4191" s="2">
        <v>1</v>
      </c>
    </row>
    <row r="4192" spans="1:8" x14ac:dyDescent="0.25">
      <c r="A4192" s="1" t="str">
        <f>"19895"</f>
        <v>19895</v>
      </c>
      <c r="B4192" s="1" t="str">
        <f>"48864"</f>
        <v>48864</v>
      </c>
      <c r="C4192" s="1" t="str">
        <f>"WILMINGTON"</f>
        <v>WILMINGTON</v>
      </c>
      <c r="D4192" s="1" t="str">
        <f>"DE"</f>
        <v>DE</v>
      </c>
      <c r="E4192" s="2">
        <v>0</v>
      </c>
      <c r="F4192" s="2">
        <v>1</v>
      </c>
      <c r="G4192" s="2">
        <v>0</v>
      </c>
      <c r="H4192" s="2">
        <v>1</v>
      </c>
    </row>
    <row r="4193" spans="1:8" x14ac:dyDescent="0.25">
      <c r="A4193" s="1" t="str">
        <f>"60055"</f>
        <v>60055</v>
      </c>
      <c r="B4193" s="1" t="str">
        <f>"16984"</f>
        <v>16984</v>
      </c>
      <c r="C4193" s="1" t="str">
        <f>"PALATINE"</f>
        <v>PALATINE</v>
      </c>
      <c r="D4193" s="1" t="str">
        <f>"IL"</f>
        <v>IL</v>
      </c>
      <c r="E4193" s="2">
        <v>0</v>
      </c>
      <c r="F4193" s="2">
        <v>0</v>
      </c>
      <c r="G4193" s="2">
        <v>1</v>
      </c>
      <c r="H4193" s="2">
        <v>1</v>
      </c>
    </row>
    <row r="4194" spans="1:8" x14ac:dyDescent="0.25">
      <c r="A4194" s="1" t="str">
        <f>"20504"</f>
        <v>20504</v>
      </c>
      <c r="B4194" s="1" t="str">
        <f>"47894"</f>
        <v>47894</v>
      </c>
      <c r="C4194" s="1" t="str">
        <f>"WASHINGTON"</f>
        <v>WASHINGTON</v>
      </c>
      <c r="D4194" s="1" t="str">
        <f>"DC"</f>
        <v>DC</v>
      </c>
      <c r="E4194" s="2">
        <v>0</v>
      </c>
      <c r="F4194" s="2">
        <v>1</v>
      </c>
      <c r="G4194" s="2">
        <v>0</v>
      </c>
      <c r="H4194" s="2">
        <v>1</v>
      </c>
    </row>
    <row r="4195" spans="1:8" x14ac:dyDescent="0.25">
      <c r="A4195" s="1" t="str">
        <f>"20350"</f>
        <v>20350</v>
      </c>
      <c r="B4195" s="1" t="str">
        <f>"47894"</f>
        <v>47894</v>
      </c>
      <c r="C4195" s="1" t="str">
        <f>"WASHINGTON"</f>
        <v>WASHINGTON</v>
      </c>
      <c r="D4195" s="1" t="str">
        <f>"DC"</f>
        <v>DC</v>
      </c>
      <c r="E4195" s="2">
        <v>0</v>
      </c>
      <c r="F4195" s="2">
        <v>1</v>
      </c>
      <c r="G4195" s="2">
        <v>0</v>
      </c>
      <c r="H4195" s="2">
        <v>1</v>
      </c>
    </row>
    <row r="4196" spans="1:8" x14ac:dyDescent="0.25">
      <c r="A4196" s="1" t="str">
        <f>"19376"</f>
        <v>19376</v>
      </c>
      <c r="B4196" s="1" t="str">
        <f>"33874"</f>
        <v>33874</v>
      </c>
      <c r="C4196" s="1" t="str">
        <f>"WAGONTOWN"</f>
        <v>WAGONTOWN</v>
      </c>
      <c r="D4196" s="1" t="str">
        <f>"PA"</f>
        <v>PA</v>
      </c>
      <c r="E4196" s="2">
        <v>0</v>
      </c>
      <c r="F4196" s="2">
        <v>1</v>
      </c>
      <c r="G4196" s="2">
        <v>0</v>
      </c>
      <c r="H4196" s="2">
        <v>1</v>
      </c>
    </row>
    <row r="4197" spans="1:8" x14ac:dyDescent="0.25">
      <c r="A4197" s="1" t="str">
        <f>"33039"</f>
        <v>33039</v>
      </c>
      <c r="B4197" s="1" t="str">
        <f>"33124"</f>
        <v>33124</v>
      </c>
      <c r="C4197" s="1" t="str">
        <f>"HOMESTEAD"</f>
        <v>HOMESTEAD</v>
      </c>
      <c r="D4197" s="1" t="str">
        <f>"FL"</f>
        <v>FL</v>
      </c>
      <c r="E4197" s="2">
        <v>0</v>
      </c>
      <c r="F4197" s="2">
        <v>1</v>
      </c>
      <c r="G4197" s="2">
        <v>0</v>
      </c>
      <c r="H4197" s="2">
        <v>1</v>
      </c>
    </row>
    <row r="4198" spans="1:8" x14ac:dyDescent="0.25">
      <c r="A4198" s="1" t="str">
        <f>"22230"</f>
        <v>22230</v>
      </c>
      <c r="B4198" s="1" t="str">
        <f>"47894"</f>
        <v>47894</v>
      </c>
      <c r="C4198" s="1" t="str">
        <f>"ARLINGTON"</f>
        <v>ARLINGTON</v>
      </c>
      <c r="D4198" s="1" t="str">
        <f>"VA"</f>
        <v>VA</v>
      </c>
      <c r="E4198" s="2">
        <v>0</v>
      </c>
      <c r="F4198" s="2">
        <v>1</v>
      </c>
      <c r="G4198" s="2">
        <v>0</v>
      </c>
      <c r="H4198" s="2">
        <v>1</v>
      </c>
    </row>
    <row r="4199" spans="1:8" x14ac:dyDescent="0.25">
      <c r="A4199" s="1" t="str">
        <f>"20431"</f>
        <v>20431</v>
      </c>
      <c r="B4199" s="1" t="str">
        <f>"47894"</f>
        <v>47894</v>
      </c>
      <c r="C4199" s="1" t="str">
        <f>"WASHINGTON"</f>
        <v>WASHINGTON</v>
      </c>
      <c r="D4199" s="1" t="str">
        <f>"DC"</f>
        <v>DC</v>
      </c>
      <c r="E4199" s="2">
        <v>0</v>
      </c>
      <c r="F4199" s="2">
        <v>1</v>
      </c>
      <c r="G4199" s="2">
        <v>0</v>
      </c>
      <c r="H4199" s="2">
        <v>1</v>
      </c>
    </row>
    <row r="4200" spans="1:8" x14ac:dyDescent="0.25">
      <c r="A4200" s="1" t="str">
        <f>"91896"</f>
        <v>91896</v>
      </c>
      <c r="B4200" s="1" t="str">
        <f>"31084"</f>
        <v>31084</v>
      </c>
      <c r="C4200" s="1" t="str">
        <f>"ALHAMBRA"</f>
        <v>ALHAMBRA</v>
      </c>
      <c r="D4200" s="1" t="str">
        <f>"CA"</f>
        <v>CA</v>
      </c>
      <c r="E4200" s="2">
        <v>0</v>
      </c>
      <c r="F4200" s="2">
        <v>0</v>
      </c>
      <c r="G4200" s="2">
        <v>1</v>
      </c>
      <c r="H4200" s="2">
        <v>1</v>
      </c>
    </row>
    <row r="4201" spans="1:8" x14ac:dyDescent="0.25">
      <c r="A4201" s="1" t="str">
        <f>"20210"</f>
        <v>20210</v>
      </c>
      <c r="B4201" s="1" t="str">
        <f>"47894"</f>
        <v>47894</v>
      </c>
      <c r="C4201" s="1" t="str">
        <f>"WASHINGTON"</f>
        <v>WASHINGTON</v>
      </c>
      <c r="D4201" s="1" t="str">
        <f>"DC"</f>
        <v>DC</v>
      </c>
      <c r="E4201" s="2">
        <v>0</v>
      </c>
      <c r="F4201" s="2">
        <v>1</v>
      </c>
      <c r="G4201" s="2">
        <v>0</v>
      </c>
      <c r="H4201" s="2">
        <v>1</v>
      </c>
    </row>
    <row r="4202" spans="1:8" x14ac:dyDescent="0.25">
      <c r="A4202" s="1" t="str">
        <f>"20610"</f>
        <v>20610</v>
      </c>
      <c r="B4202" s="1" t="str">
        <f>"47894"</f>
        <v>47894</v>
      </c>
      <c r="C4202" s="1" t="str">
        <f>"BARSTOW"</f>
        <v>BARSTOW</v>
      </c>
      <c r="D4202" s="1" t="str">
        <f>"MD"</f>
        <v>MD</v>
      </c>
      <c r="E4202" s="2">
        <v>0</v>
      </c>
      <c r="F4202" s="2">
        <v>0</v>
      </c>
      <c r="G4202" s="2">
        <v>1</v>
      </c>
      <c r="H4202" s="2">
        <v>1</v>
      </c>
    </row>
    <row r="4203" spans="1:8" x14ac:dyDescent="0.25">
      <c r="A4203" s="1" t="str">
        <f>"22245"</f>
        <v>22245</v>
      </c>
      <c r="B4203" s="1" t="str">
        <f>"47894"</f>
        <v>47894</v>
      </c>
      <c r="C4203" s="1" t="str">
        <f>"ARLINGTON"</f>
        <v>ARLINGTON</v>
      </c>
      <c r="D4203" s="1" t="str">
        <f>"VA"</f>
        <v>VA</v>
      </c>
      <c r="E4203" s="2">
        <v>0</v>
      </c>
      <c r="F4203" s="2">
        <v>1</v>
      </c>
      <c r="G4203" s="2">
        <v>0</v>
      </c>
      <c r="H4203" s="2">
        <v>1</v>
      </c>
    </row>
    <row r="4204" spans="1:8" x14ac:dyDescent="0.25">
      <c r="A4204" s="1" t="str">
        <f>"98352"</f>
        <v>98352</v>
      </c>
      <c r="B4204" s="1" t="str">
        <f>"45104"</f>
        <v>45104</v>
      </c>
      <c r="C4204" s="1" t="str">
        <f>"SUMNER"</f>
        <v>SUMNER</v>
      </c>
      <c r="D4204" s="1" t="str">
        <f>"WA"</f>
        <v>WA</v>
      </c>
      <c r="E4204" s="2">
        <v>0</v>
      </c>
      <c r="F4204" s="2">
        <v>1</v>
      </c>
      <c r="G4204" s="2">
        <v>0</v>
      </c>
      <c r="H4204" s="2">
        <v>1</v>
      </c>
    </row>
    <row r="4205" spans="1:8" x14ac:dyDescent="0.25">
      <c r="A4205" s="1" t="str">
        <f>"02062"</f>
        <v>02062</v>
      </c>
      <c r="B4205" s="1" t="str">
        <f>"14454"</f>
        <v>14454</v>
      </c>
      <c r="C4205" s="1" t="str">
        <f>"NORWOOD"</f>
        <v>NORWOOD</v>
      </c>
      <c r="D4205" s="1" t="str">
        <f>"MA"</f>
        <v>MA</v>
      </c>
      <c r="E4205" s="2">
        <v>1</v>
      </c>
      <c r="F4205" s="2">
        <v>1</v>
      </c>
      <c r="G4205" s="2">
        <v>1</v>
      </c>
      <c r="H4205" s="2">
        <v>1</v>
      </c>
    </row>
    <row r="4206" spans="1:8" x14ac:dyDescent="0.25">
      <c r="A4206" s="1" t="str">
        <f>"07032"</f>
        <v>07032</v>
      </c>
      <c r="B4206" s="1" t="str">
        <f>"35614"</f>
        <v>35614</v>
      </c>
      <c r="C4206" s="1" t="str">
        <f>"KEARNY"</f>
        <v>KEARNY</v>
      </c>
      <c r="D4206" s="1" t="str">
        <f t="shared" ref="D4206:D4216" si="313">"NJ"</f>
        <v>NJ</v>
      </c>
      <c r="E4206" s="2">
        <v>1</v>
      </c>
      <c r="F4206" s="2">
        <v>1</v>
      </c>
      <c r="G4206" s="2">
        <v>1</v>
      </c>
      <c r="H4206" s="2">
        <v>1</v>
      </c>
    </row>
    <row r="4207" spans="1:8" x14ac:dyDescent="0.25">
      <c r="A4207" s="1" t="str">
        <f>"07078"</f>
        <v>07078</v>
      </c>
      <c r="B4207" s="1" t="str">
        <f>"35084"</f>
        <v>35084</v>
      </c>
      <c r="C4207" s="1" t="str">
        <f>"SHORT HILLS"</f>
        <v>SHORT HILLS</v>
      </c>
      <c r="D4207" s="1" t="str">
        <f t="shared" si="313"/>
        <v>NJ</v>
      </c>
      <c r="E4207" s="2">
        <v>1</v>
      </c>
      <c r="F4207" s="2">
        <v>1</v>
      </c>
      <c r="G4207" s="2">
        <v>1</v>
      </c>
      <c r="H4207" s="2">
        <v>1</v>
      </c>
    </row>
    <row r="4208" spans="1:8" x14ac:dyDescent="0.25">
      <c r="A4208" s="1" t="str">
        <f>"07801"</f>
        <v>07801</v>
      </c>
      <c r="B4208" s="1" t="str">
        <f>"35084"</f>
        <v>35084</v>
      </c>
      <c r="C4208" s="1" t="str">
        <f>"DOVER"</f>
        <v>DOVER</v>
      </c>
      <c r="D4208" s="1" t="str">
        <f t="shared" si="313"/>
        <v>NJ</v>
      </c>
      <c r="E4208" s="2">
        <v>1</v>
      </c>
      <c r="F4208" s="2">
        <v>1</v>
      </c>
      <c r="G4208" s="2">
        <v>1</v>
      </c>
      <c r="H4208" s="2">
        <v>1</v>
      </c>
    </row>
    <row r="4209" spans="1:8" x14ac:dyDescent="0.25">
      <c r="A4209" s="1" t="str">
        <f>"07764"</f>
        <v>07764</v>
      </c>
      <c r="B4209" s="1" t="str">
        <f>"35154"</f>
        <v>35154</v>
      </c>
      <c r="C4209" s="1" t="str">
        <f>"WEST LONG BRANCH"</f>
        <v>WEST LONG BRANCH</v>
      </c>
      <c r="D4209" s="1" t="str">
        <f t="shared" si="313"/>
        <v>NJ</v>
      </c>
      <c r="E4209" s="2">
        <v>1</v>
      </c>
      <c r="F4209" s="2">
        <v>1</v>
      </c>
      <c r="G4209" s="2">
        <v>1</v>
      </c>
      <c r="H4209" s="2">
        <v>1</v>
      </c>
    </row>
    <row r="4210" spans="1:8" x14ac:dyDescent="0.25">
      <c r="A4210" s="1" t="str">
        <f>"07834"</f>
        <v>07834</v>
      </c>
      <c r="B4210" s="1" t="str">
        <f>"35084"</f>
        <v>35084</v>
      </c>
      <c r="C4210" s="1" t="str">
        <f>"DENVILLE"</f>
        <v>DENVILLE</v>
      </c>
      <c r="D4210" s="1" t="str">
        <f t="shared" si="313"/>
        <v>NJ</v>
      </c>
      <c r="E4210" s="2">
        <v>1</v>
      </c>
      <c r="F4210" s="2">
        <v>1</v>
      </c>
      <c r="G4210" s="2">
        <v>1</v>
      </c>
      <c r="H4210" s="2">
        <v>1</v>
      </c>
    </row>
    <row r="4211" spans="1:8" x14ac:dyDescent="0.25">
      <c r="A4211" s="1" t="str">
        <f>"07856"</f>
        <v>07856</v>
      </c>
      <c r="B4211" s="1" t="str">
        <f>"35084"</f>
        <v>35084</v>
      </c>
      <c r="C4211" s="1" t="str">
        <f>"MOUNT ARLINGTON"</f>
        <v>MOUNT ARLINGTON</v>
      </c>
      <c r="D4211" s="1" t="str">
        <f t="shared" si="313"/>
        <v>NJ</v>
      </c>
      <c r="E4211" s="2">
        <v>1</v>
      </c>
      <c r="F4211" s="2">
        <v>1</v>
      </c>
      <c r="G4211" s="2">
        <v>1</v>
      </c>
      <c r="H4211" s="2">
        <v>1</v>
      </c>
    </row>
    <row r="4212" spans="1:8" x14ac:dyDescent="0.25">
      <c r="A4212" s="1" t="str">
        <f>"08005"</f>
        <v>08005</v>
      </c>
      <c r="B4212" s="1" t="str">
        <f>"35154"</f>
        <v>35154</v>
      </c>
      <c r="C4212" s="1" t="str">
        <f>"BARNEGAT"</f>
        <v>BARNEGAT</v>
      </c>
      <c r="D4212" s="1" t="str">
        <f t="shared" si="313"/>
        <v>NJ</v>
      </c>
      <c r="E4212" s="2">
        <v>1</v>
      </c>
      <c r="F4212" s="2">
        <v>1</v>
      </c>
      <c r="G4212" s="2">
        <v>1</v>
      </c>
      <c r="H4212" s="2">
        <v>1</v>
      </c>
    </row>
    <row r="4213" spans="1:8" x14ac:dyDescent="0.25">
      <c r="A4213" s="1" t="str">
        <f>"08068"</f>
        <v>08068</v>
      </c>
      <c r="B4213" s="1" t="str">
        <f>"15804"</f>
        <v>15804</v>
      </c>
      <c r="C4213" s="1" t="str">
        <f>"PEMBERTON"</f>
        <v>PEMBERTON</v>
      </c>
      <c r="D4213" s="1" t="str">
        <f t="shared" si="313"/>
        <v>NJ</v>
      </c>
      <c r="E4213" s="2">
        <v>1</v>
      </c>
      <c r="F4213" s="2">
        <v>1</v>
      </c>
      <c r="G4213" s="2">
        <v>1</v>
      </c>
      <c r="H4213" s="2">
        <v>1</v>
      </c>
    </row>
    <row r="4214" spans="1:8" x14ac:dyDescent="0.25">
      <c r="A4214" s="1" t="str">
        <f>"08536"</f>
        <v>08536</v>
      </c>
      <c r="B4214" s="1" t="str">
        <f>"35154"</f>
        <v>35154</v>
      </c>
      <c r="C4214" s="1" t="str">
        <f>"PLAINSBORO"</f>
        <v>PLAINSBORO</v>
      </c>
      <c r="D4214" s="1" t="str">
        <f t="shared" si="313"/>
        <v>NJ</v>
      </c>
      <c r="E4214" s="2">
        <v>1</v>
      </c>
      <c r="F4214" s="2">
        <v>1</v>
      </c>
      <c r="G4214" s="2">
        <v>1</v>
      </c>
      <c r="H4214" s="2">
        <v>1</v>
      </c>
    </row>
    <row r="4215" spans="1:8" x14ac:dyDescent="0.25">
      <c r="A4215" s="1" t="str">
        <f>"08723"</f>
        <v>08723</v>
      </c>
      <c r="B4215" s="1" t="str">
        <f>"35154"</f>
        <v>35154</v>
      </c>
      <c r="C4215" s="1" t="str">
        <f>"BRICK"</f>
        <v>BRICK</v>
      </c>
      <c r="D4215" s="1" t="str">
        <f t="shared" si="313"/>
        <v>NJ</v>
      </c>
      <c r="E4215" s="2">
        <v>1</v>
      </c>
      <c r="F4215" s="2">
        <v>1</v>
      </c>
      <c r="G4215" s="2">
        <v>1</v>
      </c>
      <c r="H4215" s="2">
        <v>1</v>
      </c>
    </row>
    <row r="4216" spans="1:8" x14ac:dyDescent="0.25">
      <c r="A4216" s="1" t="str">
        <f>"08755"</f>
        <v>08755</v>
      </c>
      <c r="B4216" s="1" t="str">
        <f>"35154"</f>
        <v>35154</v>
      </c>
      <c r="C4216" s="1" t="str">
        <f>"TOMS RIVER"</f>
        <v>TOMS RIVER</v>
      </c>
      <c r="D4216" s="1" t="str">
        <f t="shared" si="313"/>
        <v>NJ</v>
      </c>
      <c r="E4216" s="2">
        <v>1</v>
      </c>
      <c r="F4216" s="2">
        <v>1</v>
      </c>
      <c r="G4216" s="2">
        <v>1</v>
      </c>
      <c r="H4216" s="2">
        <v>1</v>
      </c>
    </row>
    <row r="4217" spans="1:8" x14ac:dyDescent="0.25">
      <c r="A4217" s="1" t="str">
        <f>"10018"</f>
        <v>10018</v>
      </c>
      <c r="B4217" s="1" t="str">
        <f t="shared" ref="B4217:B4223" si="314">"35614"</f>
        <v>35614</v>
      </c>
      <c r="C4217" s="1" t="str">
        <f>"NEW YORK"</f>
        <v>NEW YORK</v>
      </c>
      <c r="D4217" s="1" t="str">
        <f t="shared" ref="D4217:D4227" si="315">"NY"</f>
        <v>NY</v>
      </c>
      <c r="E4217" s="2">
        <v>1</v>
      </c>
      <c r="F4217" s="2">
        <v>1</v>
      </c>
      <c r="G4217" s="2">
        <v>1</v>
      </c>
      <c r="H4217" s="2">
        <v>1</v>
      </c>
    </row>
    <row r="4218" spans="1:8" x14ac:dyDescent="0.25">
      <c r="A4218" s="1" t="str">
        <f>"10023"</f>
        <v>10023</v>
      </c>
      <c r="B4218" s="1" t="str">
        <f t="shared" si="314"/>
        <v>35614</v>
      </c>
      <c r="C4218" s="1" t="str">
        <f>"NEW YORK"</f>
        <v>NEW YORK</v>
      </c>
      <c r="D4218" s="1" t="str">
        <f t="shared" si="315"/>
        <v>NY</v>
      </c>
      <c r="E4218" s="2">
        <v>1</v>
      </c>
      <c r="F4218" s="2">
        <v>1</v>
      </c>
      <c r="G4218" s="2">
        <v>1</v>
      </c>
      <c r="H4218" s="2">
        <v>1</v>
      </c>
    </row>
    <row r="4219" spans="1:8" x14ac:dyDescent="0.25">
      <c r="A4219" s="1" t="str">
        <f>"10128"</f>
        <v>10128</v>
      </c>
      <c r="B4219" s="1" t="str">
        <f t="shared" si="314"/>
        <v>35614</v>
      </c>
      <c r="C4219" s="1" t="str">
        <f>"NEW YORK"</f>
        <v>NEW YORK</v>
      </c>
      <c r="D4219" s="1" t="str">
        <f t="shared" si="315"/>
        <v>NY</v>
      </c>
      <c r="E4219" s="2">
        <v>1</v>
      </c>
      <c r="F4219" s="2">
        <v>1</v>
      </c>
      <c r="G4219" s="2">
        <v>1</v>
      </c>
      <c r="H4219" s="2">
        <v>1</v>
      </c>
    </row>
    <row r="4220" spans="1:8" x14ac:dyDescent="0.25">
      <c r="A4220" s="1" t="str">
        <f>"10165"</f>
        <v>10165</v>
      </c>
      <c r="B4220" s="1" t="str">
        <f t="shared" si="314"/>
        <v>35614</v>
      </c>
      <c r="C4220" s="1" t="str">
        <f>"NEW YORK"</f>
        <v>NEW YORK</v>
      </c>
      <c r="D4220" s="1" t="str">
        <f t="shared" si="315"/>
        <v>NY</v>
      </c>
      <c r="E4220" s="2">
        <v>0</v>
      </c>
      <c r="F4220" s="2">
        <v>1</v>
      </c>
      <c r="G4220" s="2">
        <v>1</v>
      </c>
      <c r="H4220" s="2">
        <v>1</v>
      </c>
    </row>
    <row r="4221" spans="1:8" x14ac:dyDescent="0.25">
      <c r="A4221" s="1" t="str">
        <f>"11106"</f>
        <v>11106</v>
      </c>
      <c r="B4221" s="1" t="str">
        <f t="shared" si="314"/>
        <v>35614</v>
      </c>
      <c r="C4221" s="1" t="str">
        <f>"ASTORIA"</f>
        <v>ASTORIA</v>
      </c>
      <c r="D4221" s="1" t="str">
        <f t="shared" si="315"/>
        <v>NY</v>
      </c>
      <c r="E4221" s="2">
        <v>1</v>
      </c>
      <c r="F4221" s="2">
        <v>1</v>
      </c>
      <c r="G4221" s="2">
        <v>1</v>
      </c>
      <c r="H4221" s="2">
        <v>1</v>
      </c>
    </row>
    <row r="4222" spans="1:8" x14ac:dyDescent="0.25">
      <c r="A4222" s="1" t="str">
        <f>"11374"</f>
        <v>11374</v>
      </c>
      <c r="B4222" s="1" t="str">
        <f t="shared" si="314"/>
        <v>35614</v>
      </c>
      <c r="C4222" s="1" t="str">
        <f>"REGO PARK"</f>
        <v>REGO PARK</v>
      </c>
      <c r="D4222" s="1" t="str">
        <f t="shared" si="315"/>
        <v>NY</v>
      </c>
      <c r="E4222" s="2">
        <v>1</v>
      </c>
      <c r="F4222" s="2">
        <v>1</v>
      </c>
      <c r="G4222" s="2">
        <v>1</v>
      </c>
      <c r="H4222" s="2">
        <v>1</v>
      </c>
    </row>
    <row r="4223" spans="1:8" x14ac:dyDescent="0.25">
      <c r="A4223" s="1" t="str">
        <f>"11379"</f>
        <v>11379</v>
      </c>
      <c r="B4223" s="1" t="str">
        <f t="shared" si="314"/>
        <v>35614</v>
      </c>
      <c r="C4223" s="1" t="str">
        <f>"MIDDLE VILLAGE"</f>
        <v>MIDDLE VILLAGE</v>
      </c>
      <c r="D4223" s="1" t="str">
        <f t="shared" si="315"/>
        <v>NY</v>
      </c>
      <c r="E4223" s="2">
        <v>1</v>
      </c>
      <c r="F4223" s="2">
        <v>1</v>
      </c>
      <c r="G4223" s="2">
        <v>1</v>
      </c>
      <c r="H4223" s="2">
        <v>1</v>
      </c>
    </row>
    <row r="4224" spans="1:8" x14ac:dyDescent="0.25">
      <c r="A4224" s="1" t="str">
        <f>"11530"</f>
        <v>11530</v>
      </c>
      <c r="B4224" s="1" t="str">
        <f>"35004"</f>
        <v>35004</v>
      </c>
      <c r="C4224" s="1" t="str">
        <f>"GARDEN CITY"</f>
        <v>GARDEN CITY</v>
      </c>
      <c r="D4224" s="1" t="str">
        <f t="shared" si="315"/>
        <v>NY</v>
      </c>
      <c r="E4224" s="2">
        <v>1</v>
      </c>
      <c r="F4224" s="2">
        <v>1</v>
      </c>
      <c r="G4224" s="2">
        <v>1</v>
      </c>
      <c r="H4224" s="2">
        <v>1</v>
      </c>
    </row>
    <row r="4225" spans="1:8" x14ac:dyDescent="0.25">
      <c r="A4225" s="1" t="str">
        <f>"10502"</f>
        <v>10502</v>
      </c>
      <c r="B4225" s="1" t="str">
        <f>"35614"</f>
        <v>35614</v>
      </c>
      <c r="C4225" s="1" t="str">
        <f>"ARDSLEY"</f>
        <v>ARDSLEY</v>
      </c>
      <c r="D4225" s="1" t="str">
        <f t="shared" si="315"/>
        <v>NY</v>
      </c>
      <c r="E4225" s="2">
        <v>1</v>
      </c>
      <c r="F4225" s="2">
        <v>1</v>
      </c>
      <c r="G4225" s="2">
        <v>1</v>
      </c>
      <c r="H4225" s="2">
        <v>1</v>
      </c>
    </row>
    <row r="4226" spans="1:8" x14ac:dyDescent="0.25">
      <c r="A4226" s="1" t="str">
        <f>"10604"</f>
        <v>10604</v>
      </c>
      <c r="B4226" s="1" t="str">
        <f>"35614"</f>
        <v>35614</v>
      </c>
      <c r="C4226" s="1" t="str">
        <f>"WEST HARRISON"</f>
        <v>WEST HARRISON</v>
      </c>
      <c r="D4226" s="1" t="str">
        <f t="shared" si="315"/>
        <v>NY</v>
      </c>
      <c r="E4226" s="2">
        <v>1</v>
      </c>
      <c r="F4226" s="2">
        <v>1</v>
      </c>
      <c r="G4226" s="2">
        <v>1</v>
      </c>
      <c r="H4226" s="2">
        <v>1</v>
      </c>
    </row>
    <row r="4227" spans="1:8" x14ac:dyDescent="0.25">
      <c r="A4227" s="1" t="str">
        <f>"10965"</f>
        <v>10965</v>
      </c>
      <c r="B4227" s="1" t="str">
        <f>"35614"</f>
        <v>35614</v>
      </c>
      <c r="C4227" s="1" t="str">
        <f>"PEARL RIVER"</f>
        <v>PEARL RIVER</v>
      </c>
      <c r="D4227" s="1" t="str">
        <f t="shared" si="315"/>
        <v>NY</v>
      </c>
      <c r="E4227" s="2">
        <v>1</v>
      </c>
      <c r="F4227" s="2">
        <v>1</v>
      </c>
      <c r="G4227" s="2">
        <v>1</v>
      </c>
      <c r="H4227" s="2">
        <v>1</v>
      </c>
    </row>
    <row r="4228" spans="1:8" x14ac:dyDescent="0.25">
      <c r="A4228" s="1" t="str">
        <f>"19118"</f>
        <v>19118</v>
      </c>
      <c r="B4228" s="1" t="str">
        <f>"37964"</f>
        <v>37964</v>
      </c>
      <c r="C4228" s="1" t="str">
        <f>"PHILADELPHIA"</f>
        <v>PHILADELPHIA</v>
      </c>
      <c r="D4228" s="1" t="str">
        <f>"PA"</f>
        <v>PA</v>
      </c>
      <c r="E4228" s="2">
        <v>0.99249567057917998</v>
      </c>
      <c r="F4228" s="2">
        <v>0.99674267100977099</v>
      </c>
      <c r="G4228" s="2">
        <v>0.99701492537313396</v>
      </c>
      <c r="H4228" s="2">
        <v>0.993166287015945</v>
      </c>
    </row>
    <row r="4229" spans="1:8" x14ac:dyDescent="0.25">
      <c r="A4229" s="1" t="str">
        <f>"19118"</f>
        <v>19118</v>
      </c>
      <c r="B4229" s="1" t="str">
        <f>"33874"</f>
        <v>33874</v>
      </c>
      <c r="C4229" s="1" t="str">
        <f>"PHILADELPHIA"</f>
        <v>PHILADELPHIA</v>
      </c>
      <c r="D4229" s="1" t="str">
        <f>"PA"</f>
        <v>PA</v>
      </c>
      <c r="E4229" s="2">
        <v>7.5043294208197E-3</v>
      </c>
      <c r="F4229" s="2">
        <v>3.2573289902280101E-3</v>
      </c>
      <c r="G4229" s="2">
        <v>2.9850746268656699E-3</v>
      </c>
      <c r="H4229" s="2">
        <v>6.8337129840546603E-3</v>
      </c>
    </row>
    <row r="4230" spans="1:8" x14ac:dyDescent="0.25">
      <c r="A4230" s="1" t="str">
        <f>"20003"</f>
        <v>20003</v>
      </c>
      <c r="B4230" s="1" t="str">
        <f t="shared" ref="B4230:B4235" si="316">"47894"</f>
        <v>47894</v>
      </c>
      <c r="C4230" s="1" t="str">
        <f>"WASHINGTON"</f>
        <v>WASHINGTON</v>
      </c>
      <c r="D4230" s="1" t="str">
        <f>"DC"</f>
        <v>DC</v>
      </c>
      <c r="E4230" s="2">
        <v>1</v>
      </c>
      <c r="F4230" s="2">
        <v>1</v>
      </c>
      <c r="G4230" s="2">
        <v>1</v>
      </c>
      <c r="H4230" s="2">
        <v>1</v>
      </c>
    </row>
    <row r="4231" spans="1:8" x14ac:dyDescent="0.25">
      <c r="A4231" s="1" t="str">
        <f>"20016"</f>
        <v>20016</v>
      </c>
      <c r="B4231" s="1" t="str">
        <f t="shared" si="316"/>
        <v>47894</v>
      </c>
      <c r="C4231" s="1" t="str">
        <f>"WASHINGTON"</f>
        <v>WASHINGTON</v>
      </c>
      <c r="D4231" s="1" t="str">
        <f>"DC"</f>
        <v>DC</v>
      </c>
      <c r="E4231" s="2">
        <v>1</v>
      </c>
      <c r="F4231" s="2">
        <v>1</v>
      </c>
      <c r="G4231" s="2">
        <v>1</v>
      </c>
      <c r="H4231" s="2">
        <v>1</v>
      </c>
    </row>
    <row r="4232" spans="1:8" x14ac:dyDescent="0.25">
      <c r="A4232" s="1" t="str">
        <f>"20013"</f>
        <v>20013</v>
      </c>
      <c r="B4232" s="1" t="str">
        <f t="shared" si="316"/>
        <v>47894</v>
      </c>
      <c r="C4232" s="1" t="str">
        <f>"WASHINGTON"</f>
        <v>WASHINGTON</v>
      </c>
      <c r="D4232" s="1" t="str">
        <f>"DC"</f>
        <v>DC</v>
      </c>
      <c r="E4232" s="2">
        <v>1</v>
      </c>
      <c r="F4232" s="2">
        <v>1</v>
      </c>
      <c r="G4232" s="2">
        <v>1</v>
      </c>
      <c r="H4232" s="2">
        <v>1</v>
      </c>
    </row>
    <row r="4233" spans="1:8" x14ac:dyDescent="0.25">
      <c r="A4233" s="1" t="str">
        <f>"20036"</f>
        <v>20036</v>
      </c>
      <c r="B4233" s="1" t="str">
        <f t="shared" si="316"/>
        <v>47894</v>
      </c>
      <c r="C4233" s="1" t="str">
        <f>"WASHINGTON"</f>
        <v>WASHINGTON</v>
      </c>
      <c r="D4233" s="1" t="str">
        <f>"DC"</f>
        <v>DC</v>
      </c>
      <c r="E4233" s="2">
        <v>1</v>
      </c>
      <c r="F4233" s="2">
        <v>1</v>
      </c>
      <c r="G4233" s="2">
        <v>1</v>
      </c>
      <c r="H4233" s="2">
        <v>1</v>
      </c>
    </row>
    <row r="4234" spans="1:8" x14ac:dyDescent="0.25">
      <c r="A4234" s="1" t="str">
        <f>"20623"</f>
        <v>20623</v>
      </c>
      <c r="B4234" s="1" t="str">
        <f t="shared" si="316"/>
        <v>47894</v>
      </c>
      <c r="C4234" s="1" t="str">
        <f>"CHELTENHAM"</f>
        <v>CHELTENHAM</v>
      </c>
      <c r="D4234" s="1" t="str">
        <f t="shared" ref="D4234:D4239" si="317">"MD"</f>
        <v>MD</v>
      </c>
      <c r="E4234" s="2">
        <v>1</v>
      </c>
      <c r="F4234" s="2">
        <v>1</v>
      </c>
      <c r="G4234" s="2">
        <v>1</v>
      </c>
      <c r="H4234" s="2">
        <v>1</v>
      </c>
    </row>
    <row r="4235" spans="1:8" x14ac:dyDescent="0.25">
      <c r="A4235" s="1" t="str">
        <f>"20784"</f>
        <v>20784</v>
      </c>
      <c r="B4235" s="1" t="str">
        <f t="shared" si="316"/>
        <v>47894</v>
      </c>
      <c r="C4235" s="1" t="str">
        <f>"HYATTSVILLE"</f>
        <v>HYATTSVILLE</v>
      </c>
      <c r="D4235" s="1" t="str">
        <f t="shared" si="317"/>
        <v>MD</v>
      </c>
      <c r="E4235" s="2">
        <v>1</v>
      </c>
      <c r="F4235" s="2">
        <v>1</v>
      </c>
      <c r="G4235" s="2">
        <v>1</v>
      </c>
      <c r="H4235" s="2">
        <v>1</v>
      </c>
    </row>
    <row r="4236" spans="1:8" x14ac:dyDescent="0.25">
      <c r="A4236" s="1" t="str">
        <f>"20877"</f>
        <v>20877</v>
      </c>
      <c r="B4236" s="1" t="str">
        <f>"23224"</f>
        <v>23224</v>
      </c>
      <c r="C4236" s="1" t="str">
        <f>"GAITHERSBURG"</f>
        <v>GAITHERSBURG</v>
      </c>
      <c r="D4236" s="1" t="str">
        <f t="shared" si="317"/>
        <v>MD</v>
      </c>
      <c r="E4236" s="2">
        <v>1</v>
      </c>
      <c r="F4236" s="2">
        <v>1</v>
      </c>
      <c r="G4236" s="2">
        <v>1</v>
      </c>
      <c r="H4236" s="2">
        <v>1</v>
      </c>
    </row>
    <row r="4237" spans="1:8" x14ac:dyDescent="0.25">
      <c r="A4237" s="1" t="str">
        <f>"20879"</f>
        <v>20879</v>
      </c>
      <c r="B4237" s="1" t="str">
        <f>"23224"</f>
        <v>23224</v>
      </c>
      <c r="C4237" s="1" t="str">
        <f>"GAITHERSBURG"</f>
        <v>GAITHERSBURG</v>
      </c>
      <c r="D4237" s="1" t="str">
        <f t="shared" si="317"/>
        <v>MD</v>
      </c>
      <c r="E4237" s="2">
        <v>1</v>
      </c>
      <c r="F4237" s="2">
        <v>1</v>
      </c>
      <c r="G4237" s="2">
        <v>1</v>
      </c>
      <c r="H4237" s="2">
        <v>1</v>
      </c>
    </row>
    <row r="4238" spans="1:8" x14ac:dyDescent="0.25">
      <c r="A4238" s="1" t="str">
        <f>"20906"</f>
        <v>20906</v>
      </c>
      <c r="B4238" s="1" t="str">
        <f>"23224"</f>
        <v>23224</v>
      </c>
      <c r="C4238" s="1" t="str">
        <f>"SILVER SPRING"</f>
        <v>SILVER SPRING</v>
      </c>
      <c r="D4238" s="1" t="str">
        <f t="shared" si="317"/>
        <v>MD</v>
      </c>
      <c r="E4238" s="2">
        <v>1</v>
      </c>
      <c r="F4238" s="2">
        <v>1</v>
      </c>
      <c r="G4238" s="2">
        <v>1</v>
      </c>
      <c r="H4238" s="2">
        <v>1</v>
      </c>
    </row>
    <row r="4239" spans="1:8" x14ac:dyDescent="0.25">
      <c r="A4239" s="1" t="str">
        <f>"21704"</f>
        <v>21704</v>
      </c>
      <c r="B4239" s="1" t="str">
        <f>"23224"</f>
        <v>23224</v>
      </c>
      <c r="C4239" s="1" t="str">
        <f>"FREDERICK"</f>
        <v>FREDERICK</v>
      </c>
      <c r="D4239" s="1" t="str">
        <f t="shared" si="317"/>
        <v>MD</v>
      </c>
      <c r="E4239" s="2">
        <v>1</v>
      </c>
      <c r="F4239" s="2">
        <v>1</v>
      </c>
      <c r="G4239" s="2">
        <v>1</v>
      </c>
      <c r="H4239" s="2">
        <v>1</v>
      </c>
    </row>
    <row r="4240" spans="1:8" x14ac:dyDescent="0.25">
      <c r="A4240" s="1" t="str">
        <f>"20190"</f>
        <v>20190</v>
      </c>
      <c r="B4240" s="1" t="str">
        <f t="shared" ref="B4240:B4246" si="318">"47894"</f>
        <v>47894</v>
      </c>
      <c r="C4240" s="1" t="str">
        <f>"RESTON"</f>
        <v>RESTON</v>
      </c>
      <c r="D4240" s="1" t="str">
        <f t="shared" ref="D4240:D4246" si="319">"VA"</f>
        <v>VA</v>
      </c>
      <c r="E4240" s="2">
        <v>1</v>
      </c>
      <c r="F4240" s="2">
        <v>1</v>
      </c>
      <c r="G4240" s="2">
        <v>1</v>
      </c>
      <c r="H4240" s="2">
        <v>1</v>
      </c>
    </row>
    <row r="4241" spans="1:8" x14ac:dyDescent="0.25">
      <c r="A4241" s="1" t="str">
        <f>"20191"</f>
        <v>20191</v>
      </c>
      <c r="B4241" s="1" t="str">
        <f t="shared" si="318"/>
        <v>47894</v>
      </c>
      <c r="C4241" s="1" t="str">
        <f>"RESTON"</f>
        <v>RESTON</v>
      </c>
      <c r="D4241" s="1" t="str">
        <f t="shared" si="319"/>
        <v>VA</v>
      </c>
      <c r="E4241" s="2">
        <v>1</v>
      </c>
      <c r="F4241" s="2">
        <v>1</v>
      </c>
      <c r="G4241" s="2">
        <v>1</v>
      </c>
      <c r="H4241" s="2">
        <v>1</v>
      </c>
    </row>
    <row r="4242" spans="1:8" x14ac:dyDescent="0.25">
      <c r="A4242" s="1" t="str">
        <f>"22201"</f>
        <v>22201</v>
      </c>
      <c r="B4242" s="1" t="str">
        <f t="shared" si="318"/>
        <v>47894</v>
      </c>
      <c r="C4242" s="1" t="str">
        <f>"ARLINGTON"</f>
        <v>ARLINGTON</v>
      </c>
      <c r="D4242" s="1" t="str">
        <f t="shared" si="319"/>
        <v>VA</v>
      </c>
      <c r="E4242" s="2">
        <v>1</v>
      </c>
      <c r="F4242" s="2">
        <v>1</v>
      </c>
      <c r="G4242" s="2">
        <v>1</v>
      </c>
      <c r="H4242" s="2">
        <v>1</v>
      </c>
    </row>
    <row r="4243" spans="1:8" x14ac:dyDescent="0.25">
      <c r="A4243" s="1" t="str">
        <f>"22403"</f>
        <v>22403</v>
      </c>
      <c r="B4243" s="1" t="str">
        <f t="shared" si="318"/>
        <v>47894</v>
      </c>
      <c r="C4243" s="1" t="str">
        <f>"FREDERICKSBURG"</f>
        <v>FREDERICKSBURG</v>
      </c>
      <c r="D4243" s="1" t="str">
        <f t="shared" si="319"/>
        <v>VA</v>
      </c>
      <c r="E4243" s="2">
        <v>1</v>
      </c>
      <c r="F4243" s="2">
        <v>1</v>
      </c>
      <c r="G4243" s="2">
        <v>1</v>
      </c>
      <c r="H4243" s="2">
        <v>1</v>
      </c>
    </row>
    <row r="4244" spans="1:8" x14ac:dyDescent="0.25">
      <c r="A4244" s="1" t="str">
        <f>"22657"</f>
        <v>22657</v>
      </c>
      <c r="B4244" s="1" t="str">
        <f t="shared" si="318"/>
        <v>47894</v>
      </c>
      <c r="C4244" s="1" t="str">
        <f>"STRASBURG"</f>
        <v>STRASBURG</v>
      </c>
      <c r="D4244" s="1" t="str">
        <f t="shared" si="319"/>
        <v>VA</v>
      </c>
      <c r="E4244" s="2">
        <v>1</v>
      </c>
      <c r="F4244" s="2">
        <v>1</v>
      </c>
      <c r="G4244" s="2">
        <v>1</v>
      </c>
      <c r="H4244" s="2">
        <v>1</v>
      </c>
    </row>
    <row r="4245" spans="1:8" x14ac:dyDescent="0.25">
      <c r="A4245" s="1" t="str">
        <f>"22720"</f>
        <v>22720</v>
      </c>
      <c r="B4245" s="1" t="str">
        <f t="shared" si="318"/>
        <v>47894</v>
      </c>
      <c r="C4245" s="1" t="str">
        <f>"GOLDVEIN"</f>
        <v>GOLDVEIN</v>
      </c>
      <c r="D4245" s="1" t="str">
        <f t="shared" si="319"/>
        <v>VA</v>
      </c>
      <c r="E4245" s="2">
        <v>1</v>
      </c>
      <c r="F4245" s="2">
        <v>1</v>
      </c>
      <c r="G4245" s="2">
        <v>0</v>
      </c>
      <c r="H4245" s="2">
        <v>1</v>
      </c>
    </row>
    <row r="4246" spans="1:8" x14ac:dyDescent="0.25">
      <c r="A4246" s="1" t="str">
        <f>"23117"</f>
        <v>23117</v>
      </c>
      <c r="B4246" s="1" t="str">
        <f t="shared" si="318"/>
        <v>47894</v>
      </c>
      <c r="C4246" s="1" t="str">
        <f>"MINERAL"</f>
        <v>MINERAL</v>
      </c>
      <c r="D4246" s="1" t="str">
        <f t="shared" si="319"/>
        <v>VA</v>
      </c>
      <c r="E4246" s="2">
        <v>1</v>
      </c>
      <c r="F4246" s="2">
        <v>1</v>
      </c>
      <c r="G4246" s="2">
        <v>0</v>
      </c>
      <c r="H4246" s="2">
        <v>1</v>
      </c>
    </row>
    <row r="4247" spans="1:8" x14ac:dyDescent="0.25">
      <c r="A4247" s="1" t="str">
        <f>"33415"</f>
        <v>33415</v>
      </c>
      <c r="B4247" s="1" t="str">
        <f>"48424"</f>
        <v>48424</v>
      </c>
      <c r="C4247" s="1" t="str">
        <f>"WEST PALM BEACH"</f>
        <v>WEST PALM BEACH</v>
      </c>
      <c r="D4247" s="1" t="str">
        <f t="shared" ref="D4247:D4252" si="320">"FL"</f>
        <v>FL</v>
      </c>
      <c r="E4247" s="2">
        <v>1</v>
      </c>
      <c r="F4247" s="2">
        <v>1</v>
      </c>
      <c r="G4247" s="2">
        <v>1</v>
      </c>
      <c r="H4247" s="2">
        <v>1</v>
      </c>
    </row>
    <row r="4248" spans="1:8" x14ac:dyDescent="0.25">
      <c r="A4248" s="1" t="str">
        <f>"33432"</f>
        <v>33432</v>
      </c>
      <c r="B4248" s="1" t="str">
        <f>"48424"</f>
        <v>48424</v>
      </c>
      <c r="C4248" s="1" t="str">
        <f>"BOCA RATON"</f>
        <v>BOCA RATON</v>
      </c>
      <c r="D4248" s="1" t="str">
        <f t="shared" si="320"/>
        <v>FL</v>
      </c>
      <c r="E4248" s="2">
        <v>1</v>
      </c>
      <c r="F4248" s="2">
        <v>1</v>
      </c>
      <c r="G4248" s="2">
        <v>1</v>
      </c>
      <c r="H4248" s="2">
        <v>1</v>
      </c>
    </row>
    <row r="4249" spans="1:8" x14ac:dyDescent="0.25">
      <c r="A4249" s="1" t="str">
        <f>"33413"</f>
        <v>33413</v>
      </c>
      <c r="B4249" s="1" t="str">
        <f>"48424"</f>
        <v>48424</v>
      </c>
      <c r="C4249" s="1" t="str">
        <f>"WEST PALM BEACH"</f>
        <v>WEST PALM BEACH</v>
      </c>
      <c r="D4249" s="1" t="str">
        <f t="shared" si="320"/>
        <v>FL</v>
      </c>
      <c r="E4249" s="2">
        <v>1</v>
      </c>
      <c r="F4249" s="2">
        <v>1</v>
      </c>
      <c r="G4249" s="2">
        <v>1</v>
      </c>
      <c r="H4249" s="2">
        <v>1</v>
      </c>
    </row>
    <row r="4250" spans="1:8" x14ac:dyDescent="0.25">
      <c r="A4250" s="1" t="str">
        <f>"33403"</f>
        <v>33403</v>
      </c>
      <c r="B4250" s="1" t="str">
        <f>"48424"</f>
        <v>48424</v>
      </c>
      <c r="C4250" s="1" t="str">
        <f>"WEST PALM BEACH"</f>
        <v>WEST PALM BEACH</v>
      </c>
      <c r="D4250" s="1" t="str">
        <f t="shared" si="320"/>
        <v>FL</v>
      </c>
      <c r="E4250" s="2">
        <v>1</v>
      </c>
      <c r="F4250" s="2">
        <v>1</v>
      </c>
      <c r="G4250" s="2">
        <v>1</v>
      </c>
      <c r="H4250" s="2">
        <v>1</v>
      </c>
    </row>
    <row r="4251" spans="1:8" x14ac:dyDescent="0.25">
      <c r="A4251" s="1" t="str">
        <f>"33150"</f>
        <v>33150</v>
      </c>
      <c r="B4251" s="1" t="str">
        <f>"33124"</f>
        <v>33124</v>
      </c>
      <c r="C4251" s="1" t="str">
        <f>"MIAMI"</f>
        <v>MIAMI</v>
      </c>
      <c r="D4251" s="1" t="str">
        <f t="shared" si="320"/>
        <v>FL</v>
      </c>
      <c r="E4251" s="2">
        <v>1</v>
      </c>
      <c r="F4251" s="2">
        <v>1</v>
      </c>
      <c r="G4251" s="2">
        <v>1</v>
      </c>
      <c r="H4251" s="2">
        <v>1</v>
      </c>
    </row>
    <row r="4252" spans="1:8" x14ac:dyDescent="0.25">
      <c r="A4252" s="1" t="str">
        <f>"33444"</f>
        <v>33444</v>
      </c>
      <c r="B4252" s="1" t="str">
        <f>"48424"</f>
        <v>48424</v>
      </c>
      <c r="C4252" s="1" t="str">
        <f>"DELRAY BEACH"</f>
        <v>DELRAY BEACH</v>
      </c>
      <c r="D4252" s="1" t="str">
        <f t="shared" si="320"/>
        <v>FL</v>
      </c>
      <c r="E4252" s="2">
        <v>1</v>
      </c>
      <c r="F4252" s="2">
        <v>1</v>
      </c>
      <c r="G4252" s="2">
        <v>1</v>
      </c>
      <c r="H4252" s="2">
        <v>1</v>
      </c>
    </row>
    <row r="4253" spans="1:8" x14ac:dyDescent="0.25">
      <c r="A4253" s="1" t="str">
        <f>"48042"</f>
        <v>48042</v>
      </c>
      <c r="B4253" s="1" t="str">
        <f>"47664"</f>
        <v>47664</v>
      </c>
      <c r="C4253" s="1" t="str">
        <f>"MACOMB"</f>
        <v>MACOMB</v>
      </c>
      <c r="D4253" s="1" t="str">
        <f t="shared" ref="D4253:D4259" si="321">"MI"</f>
        <v>MI</v>
      </c>
      <c r="E4253" s="2">
        <v>1</v>
      </c>
      <c r="F4253" s="2">
        <v>1</v>
      </c>
      <c r="G4253" s="2">
        <v>1</v>
      </c>
      <c r="H4253" s="2">
        <v>1</v>
      </c>
    </row>
    <row r="4254" spans="1:8" x14ac:dyDescent="0.25">
      <c r="A4254" s="1" t="str">
        <f>"48002"</f>
        <v>48002</v>
      </c>
      <c r="B4254" s="1" t="str">
        <f>"47664"</f>
        <v>47664</v>
      </c>
      <c r="C4254" s="1" t="str">
        <f>"ALLENTON"</f>
        <v>ALLENTON</v>
      </c>
      <c r="D4254" s="1" t="str">
        <f t="shared" si="321"/>
        <v>MI</v>
      </c>
      <c r="E4254" s="2">
        <v>1</v>
      </c>
      <c r="F4254" s="2">
        <v>1</v>
      </c>
      <c r="G4254" s="2">
        <v>1</v>
      </c>
      <c r="H4254" s="2">
        <v>1</v>
      </c>
    </row>
    <row r="4255" spans="1:8" x14ac:dyDescent="0.25">
      <c r="A4255" s="1" t="str">
        <f>"48334"</f>
        <v>48334</v>
      </c>
      <c r="B4255" s="1" t="str">
        <f>"47664"</f>
        <v>47664</v>
      </c>
      <c r="C4255" s="1" t="str">
        <f>"FARMINGTON"</f>
        <v>FARMINGTON</v>
      </c>
      <c r="D4255" s="1" t="str">
        <f t="shared" si="321"/>
        <v>MI</v>
      </c>
      <c r="E4255" s="2">
        <v>1</v>
      </c>
      <c r="F4255" s="2">
        <v>1</v>
      </c>
      <c r="G4255" s="2">
        <v>1</v>
      </c>
      <c r="H4255" s="2">
        <v>1</v>
      </c>
    </row>
    <row r="4256" spans="1:8" x14ac:dyDescent="0.25">
      <c r="A4256" s="1" t="str">
        <f>"48307"</f>
        <v>48307</v>
      </c>
      <c r="B4256" s="1" t="str">
        <f>"47664"</f>
        <v>47664</v>
      </c>
      <c r="C4256" s="1" t="str">
        <f>"ROCHESTER"</f>
        <v>ROCHESTER</v>
      </c>
      <c r="D4256" s="1" t="str">
        <f t="shared" si="321"/>
        <v>MI</v>
      </c>
      <c r="E4256" s="2">
        <v>1</v>
      </c>
      <c r="F4256" s="2">
        <v>1</v>
      </c>
      <c r="G4256" s="2">
        <v>1</v>
      </c>
      <c r="H4256" s="2">
        <v>1</v>
      </c>
    </row>
    <row r="4257" spans="1:8" x14ac:dyDescent="0.25">
      <c r="A4257" s="1" t="str">
        <f>"48207"</f>
        <v>48207</v>
      </c>
      <c r="B4257" s="1" t="str">
        <f>"19804"</f>
        <v>19804</v>
      </c>
      <c r="C4257" s="1" t="str">
        <f>"DETROIT"</f>
        <v>DETROIT</v>
      </c>
      <c r="D4257" s="1" t="str">
        <f t="shared" si="321"/>
        <v>MI</v>
      </c>
      <c r="E4257" s="2">
        <v>1</v>
      </c>
      <c r="F4257" s="2">
        <v>1</v>
      </c>
      <c r="G4257" s="2">
        <v>1</v>
      </c>
      <c r="H4257" s="2">
        <v>1</v>
      </c>
    </row>
    <row r="4258" spans="1:8" x14ac:dyDescent="0.25">
      <c r="A4258" s="1" t="str">
        <f>"48213"</f>
        <v>48213</v>
      </c>
      <c r="B4258" s="1" t="str">
        <f>"19804"</f>
        <v>19804</v>
      </c>
      <c r="C4258" s="1" t="str">
        <f>"DETROIT"</f>
        <v>DETROIT</v>
      </c>
      <c r="D4258" s="1" t="str">
        <f t="shared" si="321"/>
        <v>MI</v>
      </c>
      <c r="E4258" s="2">
        <v>1</v>
      </c>
      <c r="F4258" s="2">
        <v>1</v>
      </c>
      <c r="G4258" s="2">
        <v>1</v>
      </c>
      <c r="H4258" s="2">
        <v>1</v>
      </c>
    </row>
    <row r="4259" spans="1:8" x14ac:dyDescent="0.25">
      <c r="A4259" s="1" t="str">
        <f>"48843"</f>
        <v>48843</v>
      </c>
      <c r="B4259" s="1" t="str">
        <f>"47664"</f>
        <v>47664</v>
      </c>
      <c r="C4259" s="1" t="str">
        <f>"HOWELL"</f>
        <v>HOWELL</v>
      </c>
      <c r="D4259" s="1" t="str">
        <f t="shared" si="321"/>
        <v>MI</v>
      </c>
      <c r="E4259" s="2">
        <v>1</v>
      </c>
      <c r="F4259" s="2">
        <v>1</v>
      </c>
      <c r="G4259" s="2">
        <v>1</v>
      </c>
      <c r="H4259" s="2">
        <v>1</v>
      </c>
    </row>
    <row r="4260" spans="1:8" x14ac:dyDescent="0.25">
      <c r="A4260" s="1" t="str">
        <f>"60462"</f>
        <v>60462</v>
      </c>
      <c r="B4260" s="1" t="str">
        <f>"16984"</f>
        <v>16984</v>
      </c>
      <c r="C4260" s="1" t="str">
        <f>"ORLAND PARK"</f>
        <v>ORLAND PARK</v>
      </c>
      <c r="D4260" s="1" t="str">
        <f t="shared" ref="D4260:D4266" si="322">"IL"</f>
        <v>IL</v>
      </c>
      <c r="E4260" s="2">
        <v>1</v>
      </c>
      <c r="F4260" s="2">
        <v>1</v>
      </c>
      <c r="G4260" s="2">
        <v>1</v>
      </c>
      <c r="H4260" s="2">
        <v>1</v>
      </c>
    </row>
    <row r="4261" spans="1:8" x14ac:dyDescent="0.25">
      <c r="A4261" s="1" t="str">
        <f>"60506"</f>
        <v>60506</v>
      </c>
      <c r="B4261" s="1" t="str">
        <f>"20994"</f>
        <v>20994</v>
      </c>
      <c r="C4261" s="1" t="str">
        <f>"AURORA"</f>
        <v>AURORA</v>
      </c>
      <c r="D4261" s="1" t="str">
        <f t="shared" si="322"/>
        <v>IL</v>
      </c>
      <c r="E4261" s="2">
        <v>1</v>
      </c>
      <c r="F4261" s="2">
        <v>1</v>
      </c>
      <c r="G4261" s="2">
        <v>1</v>
      </c>
      <c r="H4261" s="2">
        <v>1</v>
      </c>
    </row>
    <row r="4262" spans="1:8" x14ac:dyDescent="0.25">
      <c r="A4262" s="1" t="str">
        <f>"60540"</f>
        <v>60540</v>
      </c>
      <c r="B4262" s="1" t="str">
        <f>"16984"</f>
        <v>16984</v>
      </c>
      <c r="C4262" s="1" t="str">
        <f>"NAPERVILLE"</f>
        <v>NAPERVILLE</v>
      </c>
      <c r="D4262" s="1" t="str">
        <f t="shared" si="322"/>
        <v>IL</v>
      </c>
      <c r="E4262" s="2">
        <v>1</v>
      </c>
      <c r="F4262" s="2">
        <v>1</v>
      </c>
      <c r="G4262" s="2">
        <v>1</v>
      </c>
      <c r="H4262" s="2">
        <v>1</v>
      </c>
    </row>
    <row r="4263" spans="1:8" x14ac:dyDescent="0.25">
      <c r="A4263" s="1" t="str">
        <f>"60520"</f>
        <v>60520</v>
      </c>
      <c r="B4263" s="1" t="str">
        <f>"20994"</f>
        <v>20994</v>
      </c>
      <c r="C4263" s="1" t="str">
        <f>"HINCKLEY"</f>
        <v>HINCKLEY</v>
      </c>
      <c r="D4263" s="1" t="str">
        <f t="shared" si="322"/>
        <v>IL</v>
      </c>
      <c r="E4263" s="2">
        <v>1</v>
      </c>
      <c r="F4263" s="2">
        <v>1</v>
      </c>
      <c r="G4263" s="2">
        <v>1</v>
      </c>
      <c r="H4263" s="2">
        <v>1</v>
      </c>
    </row>
    <row r="4264" spans="1:8" x14ac:dyDescent="0.25">
      <c r="A4264" s="1" t="str">
        <f>"60031"</f>
        <v>60031</v>
      </c>
      <c r="B4264" s="1" t="str">
        <f>"29404"</f>
        <v>29404</v>
      </c>
      <c r="C4264" s="1" t="str">
        <f>"GURNEE"</f>
        <v>GURNEE</v>
      </c>
      <c r="D4264" s="1" t="str">
        <f t="shared" si="322"/>
        <v>IL</v>
      </c>
      <c r="E4264" s="2">
        <v>1</v>
      </c>
      <c r="F4264" s="2">
        <v>1</v>
      </c>
      <c r="G4264" s="2">
        <v>1</v>
      </c>
      <c r="H4264" s="2">
        <v>1</v>
      </c>
    </row>
    <row r="4265" spans="1:8" x14ac:dyDescent="0.25">
      <c r="A4265" s="1" t="str">
        <f>"60004"</f>
        <v>60004</v>
      </c>
      <c r="B4265" s="1" t="str">
        <f>"16984"</f>
        <v>16984</v>
      </c>
      <c r="C4265" s="1" t="str">
        <f>"ARLINGTON HEIGHTS"</f>
        <v>ARLINGTON HEIGHTS</v>
      </c>
      <c r="D4265" s="1" t="str">
        <f t="shared" si="322"/>
        <v>IL</v>
      </c>
      <c r="E4265" s="2">
        <v>1</v>
      </c>
      <c r="F4265" s="2">
        <v>1</v>
      </c>
      <c r="G4265" s="2">
        <v>1</v>
      </c>
      <c r="H4265" s="2">
        <v>1</v>
      </c>
    </row>
    <row r="4266" spans="1:8" x14ac:dyDescent="0.25">
      <c r="A4266" s="1" t="str">
        <f>"60203"</f>
        <v>60203</v>
      </c>
      <c r="B4266" s="1" t="str">
        <f>"16984"</f>
        <v>16984</v>
      </c>
      <c r="C4266" s="1" t="str">
        <f>"EVANSTON"</f>
        <v>EVANSTON</v>
      </c>
      <c r="D4266" s="1" t="str">
        <f t="shared" si="322"/>
        <v>IL</v>
      </c>
      <c r="E4266" s="2">
        <v>1</v>
      </c>
      <c r="F4266" s="2">
        <v>1</v>
      </c>
      <c r="G4266" s="2">
        <v>1</v>
      </c>
      <c r="H4266" s="2">
        <v>1</v>
      </c>
    </row>
    <row r="4267" spans="1:8" x14ac:dyDescent="0.25">
      <c r="A4267" s="1" t="str">
        <f>"75024"</f>
        <v>75024</v>
      </c>
      <c r="B4267" s="1" t="str">
        <f t="shared" ref="B4267:B4274" si="323">"19124"</f>
        <v>19124</v>
      </c>
      <c r="C4267" s="1" t="str">
        <f>"PLANO"</f>
        <v>PLANO</v>
      </c>
      <c r="D4267" s="1" t="str">
        <f t="shared" ref="D4267:D4274" si="324">"TX"</f>
        <v>TX</v>
      </c>
      <c r="E4267" s="2">
        <v>1</v>
      </c>
      <c r="F4267" s="2">
        <v>1</v>
      </c>
      <c r="G4267" s="2">
        <v>1</v>
      </c>
      <c r="H4267" s="2">
        <v>1</v>
      </c>
    </row>
    <row r="4268" spans="1:8" x14ac:dyDescent="0.25">
      <c r="A4268" s="1" t="str">
        <f>"75035"</f>
        <v>75035</v>
      </c>
      <c r="B4268" s="1" t="str">
        <f t="shared" si="323"/>
        <v>19124</v>
      </c>
      <c r="C4268" s="1" t="str">
        <f>"FRISCO"</f>
        <v>FRISCO</v>
      </c>
      <c r="D4268" s="1" t="str">
        <f t="shared" si="324"/>
        <v>TX</v>
      </c>
      <c r="E4268" s="2">
        <v>1</v>
      </c>
      <c r="F4268" s="2">
        <v>1</v>
      </c>
      <c r="G4268" s="2">
        <v>1</v>
      </c>
      <c r="H4268" s="2">
        <v>1</v>
      </c>
    </row>
    <row r="4269" spans="1:8" x14ac:dyDescent="0.25">
      <c r="A4269" s="1" t="str">
        <f>"75210"</f>
        <v>75210</v>
      </c>
      <c r="B4269" s="1" t="str">
        <f t="shared" si="323"/>
        <v>19124</v>
      </c>
      <c r="C4269" s="1" t="str">
        <f>"DALLAS"</f>
        <v>DALLAS</v>
      </c>
      <c r="D4269" s="1" t="str">
        <f t="shared" si="324"/>
        <v>TX</v>
      </c>
      <c r="E4269" s="2">
        <v>1</v>
      </c>
      <c r="F4269" s="2">
        <v>1</v>
      </c>
      <c r="G4269" s="2">
        <v>1</v>
      </c>
      <c r="H4269" s="2">
        <v>1</v>
      </c>
    </row>
    <row r="4270" spans="1:8" x14ac:dyDescent="0.25">
      <c r="A4270" s="1" t="str">
        <f>"75142"</f>
        <v>75142</v>
      </c>
      <c r="B4270" s="1" t="str">
        <f t="shared" si="323"/>
        <v>19124</v>
      </c>
      <c r="C4270" s="1" t="str">
        <f>"KAUFMAN"</f>
        <v>KAUFMAN</v>
      </c>
      <c r="D4270" s="1" t="str">
        <f t="shared" si="324"/>
        <v>TX</v>
      </c>
      <c r="E4270" s="2">
        <v>1</v>
      </c>
      <c r="F4270" s="2">
        <v>1</v>
      </c>
      <c r="G4270" s="2">
        <v>1</v>
      </c>
      <c r="H4270" s="2">
        <v>1</v>
      </c>
    </row>
    <row r="4271" spans="1:8" x14ac:dyDescent="0.25">
      <c r="A4271" s="1" t="str">
        <f>"75086"</f>
        <v>75086</v>
      </c>
      <c r="B4271" s="1" t="str">
        <f t="shared" si="323"/>
        <v>19124</v>
      </c>
      <c r="C4271" s="1" t="str">
        <f>"PLANO"</f>
        <v>PLANO</v>
      </c>
      <c r="D4271" s="1" t="str">
        <f t="shared" si="324"/>
        <v>TX</v>
      </c>
      <c r="E4271" s="2">
        <v>1</v>
      </c>
      <c r="F4271" s="2">
        <v>1</v>
      </c>
      <c r="G4271" s="2">
        <v>1</v>
      </c>
      <c r="H4271" s="2">
        <v>1</v>
      </c>
    </row>
    <row r="4272" spans="1:8" x14ac:dyDescent="0.25">
      <c r="A4272" s="1" t="str">
        <f>"75161"</f>
        <v>75161</v>
      </c>
      <c r="B4272" s="1" t="str">
        <f t="shared" si="323"/>
        <v>19124</v>
      </c>
      <c r="C4272" s="1" t="str">
        <f>"TERRELL"</f>
        <v>TERRELL</v>
      </c>
      <c r="D4272" s="1" t="str">
        <f t="shared" si="324"/>
        <v>TX</v>
      </c>
      <c r="E4272" s="2">
        <v>1</v>
      </c>
      <c r="F4272" s="2">
        <v>1</v>
      </c>
      <c r="G4272" s="2">
        <v>1</v>
      </c>
      <c r="H4272" s="2">
        <v>1</v>
      </c>
    </row>
    <row r="4273" spans="1:8" x14ac:dyDescent="0.25">
      <c r="A4273" s="1" t="str">
        <f>"75159"</f>
        <v>75159</v>
      </c>
      <c r="B4273" s="1" t="str">
        <f t="shared" si="323"/>
        <v>19124</v>
      </c>
      <c r="C4273" s="1" t="str">
        <f>"SEAGOVILLE"</f>
        <v>SEAGOVILLE</v>
      </c>
      <c r="D4273" s="1" t="str">
        <f t="shared" si="324"/>
        <v>TX</v>
      </c>
      <c r="E4273" s="2">
        <v>1</v>
      </c>
      <c r="F4273" s="2">
        <v>1</v>
      </c>
      <c r="G4273" s="2">
        <v>1</v>
      </c>
      <c r="H4273" s="2">
        <v>1</v>
      </c>
    </row>
    <row r="4274" spans="1:8" x14ac:dyDescent="0.25">
      <c r="A4274" s="1" t="str">
        <f>"75167"</f>
        <v>75167</v>
      </c>
      <c r="B4274" s="1" t="str">
        <f t="shared" si="323"/>
        <v>19124</v>
      </c>
      <c r="C4274" s="1" t="str">
        <f>"WAXAHACHIE"</f>
        <v>WAXAHACHIE</v>
      </c>
      <c r="D4274" s="1" t="str">
        <f t="shared" si="324"/>
        <v>TX</v>
      </c>
      <c r="E4274" s="2">
        <v>1</v>
      </c>
      <c r="F4274" s="2">
        <v>1</v>
      </c>
      <c r="G4274" s="2">
        <v>1</v>
      </c>
      <c r="H4274" s="2">
        <v>1</v>
      </c>
    </row>
    <row r="4275" spans="1:8" x14ac:dyDescent="0.25">
      <c r="A4275" s="1" t="str">
        <f>"90210"</f>
        <v>90210</v>
      </c>
      <c r="B4275" s="1" t="str">
        <f t="shared" ref="B4275:B4280" si="325">"31084"</f>
        <v>31084</v>
      </c>
      <c r="C4275" s="1" t="str">
        <f>"BEVERLY HILLS"</f>
        <v>BEVERLY HILLS</v>
      </c>
      <c r="D4275" s="1" t="str">
        <f t="shared" ref="D4275:D4290" si="326">"CA"</f>
        <v>CA</v>
      </c>
      <c r="E4275" s="2">
        <v>1</v>
      </c>
      <c r="F4275" s="2">
        <v>1</v>
      </c>
      <c r="G4275" s="2">
        <v>1</v>
      </c>
      <c r="H4275" s="2">
        <v>1</v>
      </c>
    </row>
    <row r="4276" spans="1:8" x14ac:dyDescent="0.25">
      <c r="A4276" s="1" t="str">
        <f>"90221"</f>
        <v>90221</v>
      </c>
      <c r="B4276" s="1" t="str">
        <f t="shared" si="325"/>
        <v>31084</v>
      </c>
      <c r="C4276" s="1" t="str">
        <f>"COMPTON"</f>
        <v>COMPTON</v>
      </c>
      <c r="D4276" s="1" t="str">
        <f t="shared" si="326"/>
        <v>CA</v>
      </c>
      <c r="E4276" s="2">
        <v>1</v>
      </c>
      <c r="F4276" s="2">
        <v>1</v>
      </c>
      <c r="G4276" s="2">
        <v>1</v>
      </c>
      <c r="H4276" s="2">
        <v>1</v>
      </c>
    </row>
    <row r="4277" spans="1:8" x14ac:dyDescent="0.25">
      <c r="A4277" s="1" t="str">
        <f>"90004"</f>
        <v>90004</v>
      </c>
      <c r="B4277" s="1" t="str">
        <f t="shared" si="325"/>
        <v>31084</v>
      </c>
      <c r="C4277" s="1" t="str">
        <f>"LOS ANGELES"</f>
        <v>LOS ANGELES</v>
      </c>
      <c r="D4277" s="1" t="str">
        <f t="shared" si="326"/>
        <v>CA</v>
      </c>
      <c r="E4277" s="2">
        <v>1</v>
      </c>
      <c r="F4277" s="2">
        <v>1</v>
      </c>
      <c r="G4277" s="2">
        <v>1</v>
      </c>
      <c r="H4277" s="2">
        <v>1</v>
      </c>
    </row>
    <row r="4278" spans="1:8" x14ac:dyDescent="0.25">
      <c r="A4278" s="1" t="str">
        <f>"90266"</f>
        <v>90266</v>
      </c>
      <c r="B4278" s="1" t="str">
        <f t="shared" si="325"/>
        <v>31084</v>
      </c>
      <c r="C4278" s="1" t="str">
        <f>"MANHATTAN BEACH"</f>
        <v>MANHATTAN BEACH</v>
      </c>
      <c r="D4278" s="1" t="str">
        <f t="shared" si="326"/>
        <v>CA</v>
      </c>
      <c r="E4278" s="2">
        <v>1</v>
      </c>
      <c r="F4278" s="2">
        <v>1</v>
      </c>
      <c r="G4278" s="2">
        <v>1</v>
      </c>
      <c r="H4278" s="2">
        <v>1</v>
      </c>
    </row>
    <row r="4279" spans="1:8" x14ac:dyDescent="0.25">
      <c r="A4279" s="1" t="str">
        <f>"90713"</f>
        <v>90713</v>
      </c>
      <c r="B4279" s="1" t="str">
        <f t="shared" si="325"/>
        <v>31084</v>
      </c>
      <c r="C4279" s="1" t="str">
        <f>"LAKEWOOD"</f>
        <v>LAKEWOOD</v>
      </c>
      <c r="D4279" s="1" t="str">
        <f t="shared" si="326"/>
        <v>CA</v>
      </c>
      <c r="E4279" s="2">
        <v>1</v>
      </c>
      <c r="F4279" s="2">
        <v>1</v>
      </c>
      <c r="G4279" s="2">
        <v>1</v>
      </c>
      <c r="H4279" s="2">
        <v>1</v>
      </c>
    </row>
    <row r="4280" spans="1:8" x14ac:dyDescent="0.25">
      <c r="A4280" s="1" t="str">
        <f>"91505"</f>
        <v>91505</v>
      </c>
      <c r="B4280" s="1" t="str">
        <f t="shared" si="325"/>
        <v>31084</v>
      </c>
      <c r="C4280" s="1" t="str">
        <f>"BURBANK"</f>
        <v>BURBANK</v>
      </c>
      <c r="D4280" s="1" t="str">
        <f t="shared" si="326"/>
        <v>CA</v>
      </c>
      <c r="E4280" s="2">
        <v>1</v>
      </c>
      <c r="F4280" s="2">
        <v>1</v>
      </c>
      <c r="G4280" s="2">
        <v>1</v>
      </c>
      <c r="H4280" s="2">
        <v>1</v>
      </c>
    </row>
    <row r="4281" spans="1:8" x14ac:dyDescent="0.25">
      <c r="A4281" s="1" t="str">
        <f>"90720"</f>
        <v>90720</v>
      </c>
      <c r="B4281" s="1" t="str">
        <f>"11244"</f>
        <v>11244</v>
      </c>
      <c r="C4281" s="1" t="str">
        <f>"LOS ALAMITOS"</f>
        <v>LOS ALAMITOS</v>
      </c>
      <c r="D4281" s="1" t="str">
        <f t="shared" si="326"/>
        <v>CA</v>
      </c>
      <c r="E4281" s="2">
        <v>1</v>
      </c>
      <c r="F4281" s="2">
        <v>1</v>
      </c>
      <c r="G4281" s="2">
        <v>1</v>
      </c>
      <c r="H4281" s="2">
        <v>1</v>
      </c>
    </row>
    <row r="4282" spans="1:8" x14ac:dyDescent="0.25">
      <c r="A4282" s="1" t="str">
        <f>"92780"</f>
        <v>92780</v>
      </c>
      <c r="B4282" s="1" t="str">
        <f>"11244"</f>
        <v>11244</v>
      </c>
      <c r="C4282" s="1" t="str">
        <f>"TUSTIN"</f>
        <v>TUSTIN</v>
      </c>
      <c r="D4282" s="1" t="str">
        <f t="shared" si="326"/>
        <v>CA</v>
      </c>
      <c r="E4282" s="2">
        <v>1</v>
      </c>
      <c r="F4282" s="2">
        <v>1</v>
      </c>
      <c r="G4282" s="2">
        <v>1</v>
      </c>
      <c r="H4282" s="2">
        <v>1</v>
      </c>
    </row>
    <row r="4283" spans="1:8" x14ac:dyDescent="0.25">
      <c r="A4283" s="1" t="str">
        <f>"92870"</f>
        <v>92870</v>
      </c>
      <c r="B4283" s="1" t="str">
        <f>"11244"</f>
        <v>11244</v>
      </c>
      <c r="C4283" s="1" t="str">
        <f>"PLACENTIA"</f>
        <v>PLACENTIA</v>
      </c>
      <c r="D4283" s="1" t="str">
        <f t="shared" si="326"/>
        <v>CA</v>
      </c>
      <c r="E4283" s="2">
        <v>1</v>
      </c>
      <c r="F4283" s="2">
        <v>1</v>
      </c>
      <c r="G4283" s="2">
        <v>1</v>
      </c>
      <c r="H4283" s="2">
        <v>1</v>
      </c>
    </row>
    <row r="4284" spans="1:8" x14ac:dyDescent="0.25">
      <c r="A4284" s="1" t="str">
        <f>"91801"</f>
        <v>91801</v>
      </c>
      <c r="B4284" s="1" t="str">
        <f>"31084"</f>
        <v>31084</v>
      </c>
      <c r="C4284" s="1" t="str">
        <f>"ALHAMBRA"</f>
        <v>ALHAMBRA</v>
      </c>
      <c r="D4284" s="1" t="str">
        <f t="shared" si="326"/>
        <v>CA</v>
      </c>
      <c r="E4284" s="2">
        <v>1</v>
      </c>
      <c r="F4284" s="2">
        <v>1</v>
      </c>
      <c r="G4284" s="2">
        <v>1</v>
      </c>
      <c r="H4284" s="2">
        <v>1</v>
      </c>
    </row>
    <row r="4285" spans="1:8" x14ac:dyDescent="0.25">
      <c r="A4285" s="1" t="str">
        <f>"94104"</f>
        <v>94104</v>
      </c>
      <c r="B4285" s="1" t="str">
        <f>"41884"</f>
        <v>41884</v>
      </c>
      <c r="C4285" s="1" t="str">
        <f>"SAN FRANCISCO"</f>
        <v>SAN FRANCISCO</v>
      </c>
      <c r="D4285" s="1" t="str">
        <f t="shared" si="326"/>
        <v>CA</v>
      </c>
      <c r="E4285" s="2">
        <v>1</v>
      </c>
      <c r="F4285" s="2">
        <v>1</v>
      </c>
      <c r="G4285" s="2">
        <v>1</v>
      </c>
      <c r="H4285" s="2">
        <v>1</v>
      </c>
    </row>
    <row r="4286" spans="1:8" x14ac:dyDescent="0.25">
      <c r="A4286" s="1" t="str">
        <f>"94518"</f>
        <v>94518</v>
      </c>
      <c r="B4286" s="1" t="str">
        <f>"36084"</f>
        <v>36084</v>
      </c>
      <c r="C4286" s="1" t="str">
        <f>"CONCORD"</f>
        <v>CONCORD</v>
      </c>
      <c r="D4286" s="1" t="str">
        <f t="shared" si="326"/>
        <v>CA</v>
      </c>
      <c r="E4286" s="2">
        <v>1</v>
      </c>
      <c r="F4286" s="2">
        <v>1</v>
      </c>
      <c r="G4286" s="2">
        <v>1</v>
      </c>
      <c r="H4286" s="2">
        <v>1</v>
      </c>
    </row>
    <row r="4287" spans="1:8" x14ac:dyDescent="0.25">
      <c r="A4287" s="1" t="str">
        <f>"94403"</f>
        <v>94403</v>
      </c>
      <c r="B4287" s="1" t="str">
        <f>"41884"</f>
        <v>41884</v>
      </c>
      <c r="C4287" s="1" t="str">
        <f>"SAN MATEO"</f>
        <v>SAN MATEO</v>
      </c>
      <c r="D4287" s="1" t="str">
        <f t="shared" si="326"/>
        <v>CA</v>
      </c>
      <c r="E4287" s="2">
        <v>1</v>
      </c>
      <c r="F4287" s="2">
        <v>1</v>
      </c>
      <c r="G4287" s="2">
        <v>1</v>
      </c>
      <c r="H4287" s="2">
        <v>1</v>
      </c>
    </row>
    <row r="4288" spans="1:8" x14ac:dyDescent="0.25">
      <c r="A4288" s="1" t="str">
        <f>"94930"</f>
        <v>94930</v>
      </c>
      <c r="B4288" s="1" t="str">
        <f>"42034"</f>
        <v>42034</v>
      </c>
      <c r="C4288" s="1" t="str">
        <f>"FAIRFAX"</f>
        <v>FAIRFAX</v>
      </c>
      <c r="D4288" s="1" t="str">
        <f t="shared" si="326"/>
        <v>CA</v>
      </c>
      <c r="E4288" s="2">
        <v>1</v>
      </c>
      <c r="F4288" s="2">
        <v>1</v>
      </c>
      <c r="G4288" s="2">
        <v>1</v>
      </c>
      <c r="H4288" s="2">
        <v>1</v>
      </c>
    </row>
    <row r="4289" spans="1:8" x14ac:dyDescent="0.25">
      <c r="A4289" s="1" t="str">
        <f>"94709"</f>
        <v>94709</v>
      </c>
      <c r="B4289" s="1" t="str">
        <f>"36084"</f>
        <v>36084</v>
      </c>
      <c r="C4289" s="1" t="str">
        <f>"BERKELEY"</f>
        <v>BERKELEY</v>
      </c>
      <c r="D4289" s="1" t="str">
        <f t="shared" si="326"/>
        <v>CA</v>
      </c>
      <c r="E4289" s="2">
        <v>1</v>
      </c>
      <c r="F4289" s="2">
        <v>1</v>
      </c>
      <c r="G4289" s="2">
        <v>1</v>
      </c>
      <c r="H4289" s="2">
        <v>1</v>
      </c>
    </row>
    <row r="4290" spans="1:8" x14ac:dyDescent="0.25">
      <c r="A4290" s="1" t="str">
        <f>"94609"</f>
        <v>94609</v>
      </c>
      <c r="B4290" s="1" t="str">
        <f>"36084"</f>
        <v>36084</v>
      </c>
      <c r="C4290" s="1" t="str">
        <f>"OAKLAND"</f>
        <v>OAKLAND</v>
      </c>
      <c r="D4290" s="1" t="str">
        <f t="shared" si="326"/>
        <v>CA</v>
      </c>
      <c r="E4290" s="2">
        <v>1</v>
      </c>
      <c r="F4290" s="2">
        <v>1</v>
      </c>
      <c r="G4290" s="2">
        <v>1</v>
      </c>
      <c r="H4290" s="2">
        <v>1</v>
      </c>
    </row>
    <row r="4291" spans="1:8" x14ac:dyDescent="0.25">
      <c r="A4291" s="1" t="str">
        <f>"98011"</f>
        <v>98011</v>
      </c>
      <c r="B4291" s="1" t="str">
        <f>"42644"</f>
        <v>42644</v>
      </c>
      <c r="C4291" s="1" t="str">
        <f>"BOTHELL"</f>
        <v>BOTHELL</v>
      </c>
      <c r="D4291" s="1" t="str">
        <f t="shared" ref="D4291:D4298" si="327">"WA"</f>
        <v>WA</v>
      </c>
      <c r="E4291" s="2">
        <v>1</v>
      </c>
      <c r="F4291" s="2">
        <v>1</v>
      </c>
      <c r="G4291" s="2">
        <v>1</v>
      </c>
      <c r="H4291" s="2">
        <v>1</v>
      </c>
    </row>
    <row r="4292" spans="1:8" x14ac:dyDescent="0.25">
      <c r="A4292" s="1" t="str">
        <f>"98039"</f>
        <v>98039</v>
      </c>
      <c r="B4292" s="1" t="str">
        <f>"42644"</f>
        <v>42644</v>
      </c>
      <c r="C4292" s="1" t="str">
        <f>"MEDINA"</f>
        <v>MEDINA</v>
      </c>
      <c r="D4292" s="1" t="str">
        <f t="shared" si="327"/>
        <v>WA</v>
      </c>
      <c r="E4292" s="2">
        <v>1</v>
      </c>
      <c r="F4292" s="2">
        <v>1</v>
      </c>
      <c r="G4292" s="2">
        <v>1</v>
      </c>
      <c r="H4292" s="2">
        <v>1</v>
      </c>
    </row>
    <row r="4293" spans="1:8" x14ac:dyDescent="0.25">
      <c r="A4293" s="1" t="str">
        <f>"98087"</f>
        <v>98087</v>
      </c>
      <c r="B4293" s="1" t="str">
        <f>"42644"</f>
        <v>42644</v>
      </c>
      <c r="C4293" s="1" t="str">
        <f>"LYNNWOOD"</f>
        <v>LYNNWOOD</v>
      </c>
      <c r="D4293" s="1" t="str">
        <f t="shared" si="327"/>
        <v>WA</v>
      </c>
      <c r="E4293" s="2">
        <v>1</v>
      </c>
      <c r="F4293" s="2">
        <v>1</v>
      </c>
      <c r="G4293" s="2">
        <v>1</v>
      </c>
      <c r="H4293" s="2">
        <v>1</v>
      </c>
    </row>
    <row r="4294" spans="1:8" x14ac:dyDescent="0.25">
      <c r="A4294" s="1" t="str">
        <f>"98403"</f>
        <v>98403</v>
      </c>
      <c r="B4294" s="1" t="str">
        <f>"45104"</f>
        <v>45104</v>
      </c>
      <c r="C4294" s="1" t="str">
        <f>"TACOMA"</f>
        <v>TACOMA</v>
      </c>
      <c r="D4294" s="1" t="str">
        <f t="shared" si="327"/>
        <v>WA</v>
      </c>
      <c r="E4294" s="2">
        <v>1</v>
      </c>
      <c r="F4294" s="2">
        <v>1</v>
      </c>
      <c r="G4294" s="2">
        <v>1</v>
      </c>
      <c r="H4294" s="2">
        <v>1</v>
      </c>
    </row>
    <row r="4295" spans="1:8" x14ac:dyDescent="0.25">
      <c r="A4295" s="1" t="str">
        <f>"98292"</f>
        <v>98292</v>
      </c>
      <c r="B4295" s="1" t="str">
        <f>"42644"</f>
        <v>42644</v>
      </c>
      <c r="C4295" s="1" t="str">
        <f>"STANWOOD"</f>
        <v>STANWOOD</v>
      </c>
      <c r="D4295" s="1" t="str">
        <f t="shared" si="327"/>
        <v>WA</v>
      </c>
      <c r="E4295" s="2">
        <v>1</v>
      </c>
      <c r="F4295" s="2">
        <v>1</v>
      </c>
      <c r="G4295" s="2">
        <v>1</v>
      </c>
      <c r="H4295" s="2">
        <v>1</v>
      </c>
    </row>
    <row r="4296" spans="1:8" x14ac:dyDescent="0.25">
      <c r="A4296" s="1" t="str">
        <f>"98335"</f>
        <v>98335</v>
      </c>
      <c r="B4296" s="1" t="str">
        <f>"45104"</f>
        <v>45104</v>
      </c>
      <c r="C4296" s="1" t="str">
        <f>"GIG HARBOR"</f>
        <v>GIG HARBOR</v>
      </c>
      <c r="D4296" s="1" t="str">
        <f t="shared" si="327"/>
        <v>WA</v>
      </c>
      <c r="E4296" s="2">
        <v>1</v>
      </c>
      <c r="F4296" s="2">
        <v>1</v>
      </c>
      <c r="G4296" s="2">
        <v>1</v>
      </c>
      <c r="H4296" s="2">
        <v>1</v>
      </c>
    </row>
    <row r="4297" spans="1:8" x14ac:dyDescent="0.25">
      <c r="A4297" s="1" t="str">
        <f>"98303"</f>
        <v>98303</v>
      </c>
      <c r="B4297" s="1" t="str">
        <f>"45104"</f>
        <v>45104</v>
      </c>
      <c r="C4297" s="1" t="str">
        <f>"ANDERSON ISLAND"</f>
        <v>ANDERSON ISLAND</v>
      </c>
      <c r="D4297" s="1" t="str">
        <f t="shared" si="327"/>
        <v>WA</v>
      </c>
      <c r="E4297" s="2">
        <v>1</v>
      </c>
      <c r="F4297" s="2">
        <v>1</v>
      </c>
      <c r="G4297" s="2">
        <v>1</v>
      </c>
      <c r="H4297" s="2">
        <v>1</v>
      </c>
    </row>
    <row r="4298" spans="1:8" x14ac:dyDescent="0.25">
      <c r="A4298" s="1" t="str">
        <f>"98136"</f>
        <v>98136</v>
      </c>
      <c r="B4298" s="1" t="str">
        <f>"42644"</f>
        <v>42644</v>
      </c>
      <c r="C4298" s="1" t="str">
        <f>"SEATTLE"</f>
        <v>SEATTLE</v>
      </c>
      <c r="D4298" s="1" t="str">
        <f t="shared" si="327"/>
        <v>WA</v>
      </c>
      <c r="E4298" s="2">
        <v>1</v>
      </c>
      <c r="F4298" s="2">
        <v>1</v>
      </c>
      <c r="G4298" s="2">
        <v>1</v>
      </c>
      <c r="H4298" s="2">
        <v>1</v>
      </c>
    </row>
    <row r="4299" spans="1:8" x14ac:dyDescent="0.25">
      <c r="A4299" s="1" t="str">
        <f>"07439"</f>
        <v>07439</v>
      </c>
      <c r="B4299" s="1" t="str">
        <f>"35084"</f>
        <v>35084</v>
      </c>
      <c r="C4299" s="1" t="str">
        <f>"OGDENSBURG"</f>
        <v>OGDENSBURG</v>
      </c>
      <c r="D4299" s="1" t="str">
        <f>"NJ"</f>
        <v>NJ</v>
      </c>
      <c r="E4299" s="2">
        <v>1</v>
      </c>
      <c r="F4299" s="2">
        <v>1</v>
      </c>
      <c r="G4299" s="2">
        <v>1</v>
      </c>
      <c r="H4299" s="2">
        <v>1</v>
      </c>
    </row>
    <row r="4300" spans="1:8" x14ac:dyDescent="0.25">
      <c r="A4300" s="1" t="str">
        <f>"08884"</f>
        <v>08884</v>
      </c>
      <c r="B4300" s="1" t="str">
        <f>"35154"</f>
        <v>35154</v>
      </c>
      <c r="C4300" s="1" t="str">
        <f>"SPOTSWOOD"</f>
        <v>SPOTSWOOD</v>
      </c>
      <c r="D4300" s="1" t="str">
        <f>"NJ"</f>
        <v>NJ</v>
      </c>
      <c r="E4300" s="2">
        <v>1</v>
      </c>
      <c r="F4300" s="2">
        <v>1</v>
      </c>
      <c r="G4300" s="2">
        <v>1</v>
      </c>
      <c r="H4300" s="2">
        <v>1</v>
      </c>
    </row>
    <row r="4301" spans="1:8" x14ac:dyDescent="0.25">
      <c r="A4301" s="1" t="str">
        <f>"10152"</f>
        <v>10152</v>
      </c>
      <c r="B4301" s="1" t="str">
        <f>"35614"</f>
        <v>35614</v>
      </c>
      <c r="C4301" s="1" t="str">
        <f>"NEW YORK"</f>
        <v>NEW YORK</v>
      </c>
      <c r="D4301" s="1" t="str">
        <f>"NY"</f>
        <v>NY</v>
      </c>
      <c r="E4301" s="2">
        <v>0</v>
      </c>
      <c r="F4301" s="2">
        <v>1</v>
      </c>
      <c r="G4301" s="2">
        <v>1</v>
      </c>
      <c r="H4301" s="2">
        <v>1</v>
      </c>
    </row>
    <row r="4302" spans="1:8" x14ac:dyDescent="0.25">
      <c r="A4302" s="1" t="str">
        <f>"19374"</f>
        <v>19374</v>
      </c>
      <c r="B4302" s="1" t="str">
        <f>"33874"</f>
        <v>33874</v>
      </c>
      <c r="C4302" s="1" t="str">
        <f>"TOUGHKENAMON"</f>
        <v>TOUGHKENAMON</v>
      </c>
      <c r="D4302" s="1" t="str">
        <f>"PA"</f>
        <v>PA</v>
      </c>
      <c r="E4302" s="2">
        <v>1</v>
      </c>
      <c r="F4302" s="2">
        <v>1</v>
      </c>
      <c r="G4302" s="2">
        <v>1</v>
      </c>
      <c r="H4302" s="2">
        <v>1</v>
      </c>
    </row>
    <row r="4303" spans="1:8" x14ac:dyDescent="0.25">
      <c r="A4303" s="1" t="str">
        <f>"19717"</f>
        <v>19717</v>
      </c>
      <c r="B4303" s="1" t="str">
        <f>"48864"</f>
        <v>48864</v>
      </c>
      <c r="C4303" s="1" t="str">
        <f>"NEWARK"</f>
        <v>NEWARK</v>
      </c>
      <c r="D4303" s="1" t="str">
        <f>"DE"</f>
        <v>DE</v>
      </c>
      <c r="E4303" s="2">
        <v>1</v>
      </c>
      <c r="F4303" s="2">
        <v>1</v>
      </c>
      <c r="G4303" s="2">
        <v>1</v>
      </c>
      <c r="H4303" s="2">
        <v>1</v>
      </c>
    </row>
    <row r="4304" spans="1:8" x14ac:dyDescent="0.25">
      <c r="A4304" s="1" t="str">
        <f>"75354"</f>
        <v>75354</v>
      </c>
      <c r="B4304" s="1" t="str">
        <f>"19124"</f>
        <v>19124</v>
      </c>
      <c r="C4304" s="1" t="str">
        <f>"DALLAS"</f>
        <v>DALLAS</v>
      </c>
      <c r="D4304" s="1" t="str">
        <f>"TX"</f>
        <v>TX</v>
      </c>
      <c r="E4304" s="2">
        <v>1</v>
      </c>
      <c r="F4304" s="2">
        <v>1</v>
      </c>
      <c r="G4304" s="2">
        <v>1</v>
      </c>
      <c r="H4304" s="2">
        <v>1</v>
      </c>
    </row>
    <row r="4305" spans="1:8" x14ac:dyDescent="0.25">
      <c r="A4305" s="1" t="str">
        <f>"92822"</f>
        <v>92822</v>
      </c>
      <c r="B4305" s="1" t="str">
        <f>"11244"</f>
        <v>11244</v>
      </c>
      <c r="C4305" s="1" t="str">
        <f>"BREA"</f>
        <v>BREA</v>
      </c>
      <c r="D4305" s="1" t="str">
        <f>"CA"</f>
        <v>CA</v>
      </c>
      <c r="E4305" s="2">
        <v>1</v>
      </c>
      <c r="F4305" s="2">
        <v>1</v>
      </c>
      <c r="G4305" s="2">
        <v>1</v>
      </c>
      <c r="H4305" s="2">
        <v>1</v>
      </c>
    </row>
    <row r="4306" spans="1:8" x14ac:dyDescent="0.25">
      <c r="A4306" s="1" t="str">
        <f>"94524"</f>
        <v>94524</v>
      </c>
      <c r="B4306" s="1" t="str">
        <f>"36084"</f>
        <v>36084</v>
      </c>
      <c r="C4306" s="1" t="str">
        <f>"CONCORD"</f>
        <v>CONCORD</v>
      </c>
      <c r="D4306" s="1" t="str">
        <f>"CA"</f>
        <v>CA</v>
      </c>
      <c r="E4306" s="2">
        <v>1</v>
      </c>
      <c r="F4306" s="2">
        <v>1</v>
      </c>
      <c r="G4306" s="2">
        <v>1</v>
      </c>
      <c r="H4306" s="2">
        <v>1</v>
      </c>
    </row>
    <row r="4307" spans="1:8" x14ac:dyDescent="0.25">
      <c r="A4307" s="1" t="str">
        <f>"98083"</f>
        <v>98083</v>
      </c>
      <c r="B4307" s="1" t="str">
        <f>"42644"</f>
        <v>42644</v>
      </c>
      <c r="C4307" s="1" t="str">
        <f>"KIRKLAND"</f>
        <v>KIRKLAND</v>
      </c>
      <c r="D4307" s="1" t="str">
        <f>"WA"</f>
        <v>WA</v>
      </c>
      <c r="E4307" s="2">
        <v>1</v>
      </c>
      <c r="F4307" s="2">
        <v>1</v>
      </c>
      <c r="G4307" s="2">
        <v>1</v>
      </c>
      <c r="H4307" s="2">
        <v>1</v>
      </c>
    </row>
    <row r="4308" spans="1:8" x14ac:dyDescent="0.25">
      <c r="A4308" s="1" t="str">
        <f>"98071"</f>
        <v>98071</v>
      </c>
      <c r="B4308" s="1" t="str">
        <f>"42644"</f>
        <v>42644</v>
      </c>
      <c r="C4308" s="1" t="str">
        <f>"AUBURN"</f>
        <v>AUBURN</v>
      </c>
      <c r="D4308" s="1" t="str">
        <f>"WA"</f>
        <v>WA</v>
      </c>
      <c r="E4308" s="2">
        <v>1</v>
      </c>
      <c r="F4308" s="2">
        <v>1</v>
      </c>
      <c r="G4308" s="2">
        <v>1</v>
      </c>
      <c r="H4308" s="2">
        <v>1</v>
      </c>
    </row>
    <row r="4309" spans="1:8" x14ac:dyDescent="0.25">
      <c r="A4309" s="1" t="str">
        <f>"98138"</f>
        <v>98138</v>
      </c>
      <c r="B4309" s="1" t="str">
        <f>"42644"</f>
        <v>42644</v>
      </c>
      <c r="C4309" s="1" t="str">
        <f>"SEATTLE"</f>
        <v>SEATTLE</v>
      </c>
      <c r="D4309" s="1" t="str">
        <f>"WA"</f>
        <v>WA</v>
      </c>
      <c r="E4309" s="2">
        <v>1</v>
      </c>
      <c r="F4309" s="2">
        <v>1</v>
      </c>
      <c r="G4309" s="2">
        <v>1</v>
      </c>
      <c r="H4309" s="2">
        <v>1</v>
      </c>
    </row>
    <row r="4310" spans="1:8" x14ac:dyDescent="0.25">
      <c r="A4310" s="1" t="str">
        <f>"11719"</f>
        <v>11719</v>
      </c>
      <c r="B4310" s="1" t="str">
        <f>"35004"</f>
        <v>35004</v>
      </c>
      <c r="C4310" s="1" t="str">
        <f>"BROOKHAVEN"</f>
        <v>BROOKHAVEN</v>
      </c>
      <c r="D4310" s="1" t="str">
        <f>"NY"</f>
        <v>NY</v>
      </c>
      <c r="E4310" s="2">
        <v>1</v>
      </c>
      <c r="F4310" s="2">
        <v>1</v>
      </c>
      <c r="G4310" s="2">
        <v>1</v>
      </c>
      <c r="H4310" s="2">
        <v>1</v>
      </c>
    </row>
    <row r="4311" spans="1:8" x14ac:dyDescent="0.25">
      <c r="A4311" s="1" t="str">
        <f>"20144"</f>
        <v>20144</v>
      </c>
      <c r="B4311" s="1" t="str">
        <f>"47894"</f>
        <v>47894</v>
      </c>
      <c r="C4311" s="1" t="str">
        <f>"DELAPLANE"</f>
        <v>DELAPLANE</v>
      </c>
      <c r="D4311" s="1" t="str">
        <f>"VA"</f>
        <v>VA</v>
      </c>
      <c r="E4311" s="2">
        <v>1</v>
      </c>
      <c r="F4311" s="2">
        <v>1</v>
      </c>
      <c r="G4311" s="2">
        <v>1</v>
      </c>
      <c r="H4311" s="2">
        <v>1</v>
      </c>
    </row>
    <row r="4312" spans="1:8" x14ac:dyDescent="0.25">
      <c r="A4312" s="1" t="str">
        <f>"90707"</f>
        <v>90707</v>
      </c>
      <c r="B4312" s="1" t="str">
        <f>"31084"</f>
        <v>31084</v>
      </c>
      <c r="C4312" s="1" t="str">
        <f>"BELLFLOWER"</f>
        <v>BELLFLOWER</v>
      </c>
      <c r="D4312" s="1" t="str">
        <f>"CA"</f>
        <v>CA</v>
      </c>
      <c r="E4312" s="2">
        <v>1</v>
      </c>
      <c r="F4312" s="2">
        <v>1</v>
      </c>
      <c r="G4312" s="2">
        <v>1</v>
      </c>
      <c r="H4312" s="2">
        <v>1</v>
      </c>
    </row>
    <row r="4313" spans="1:8" x14ac:dyDescent="0.25">
      <c r="A4313" s="1" t="str">
        <f>"90702"</f>
        <v>90702</v>
      </c>
      <c r="B4313" s="1" t="str">
        <f>"31084"</f>
        <v>31084</v>
      </c>
      <c r="C4313" s="1" t="str">
        <f>"ARTESIA"</f>
        <v>ARTESIA</v>
      </c>
      <c r="D4313" s="1" t="str">
        <f>"CA"</f>
        <v>CA</v>
      </c>
      <c r="E4313" s="2">
        <v>1</v>
      </c>
      <c r="F4313" s="2">
        <v>1</v>
      </c>
      <c r="G4313" s="2">
        <v>1</v>
      </c>
      <c r="H4313" s="2">
        <v>1</v>
      </c>
    </row>
    <row r="4314" spans="1:8" x14ac:dyDescent="0.25">
      <c r="A4314" s="1" t="str">
        <f>"91416"</f>
        <v>91416</v>
      </c>
      <c r="B4314" s="1" t="str">
        <f>"31084"</f>
        <v>31084</v>
      </c>
      <c r="C4314" s="1" t="str">
        <f>"ENCINO"</f>
        <v>ENCINO</v>
      </c>
      <c r="D4314" s="1" t="str">
        <f>"CA"</f>
        <v>CA</v>
      </c>
      <c r="E4314" s="2">
        <v>1</v>
      </c>
      <c r="F4314" s="2">
        <v>1</v>
      </c>
      <c r="G4314" s="2">
        <v>1</v>
      </c>
      <c r="H4314" s="2">
        <v>1</v>
      </c>
    </row>
    <row r="4315" spans="1:8" x14ac:dyDescent="0.25">
      <c r="A4315" s="1" t="str">
        <f>"60141"</f>
        <v>60141</v>
      </c>
      <c r="B4315" s="1" t="str">
        <f>"16984"</f>
        <v>16984</v>
      </c>
      <c r="C4315" s="1" t="str">
        <f>"HINES"</f>
        <v>HINES</v>
      </c>
      <c r="D4315" s="1" t="str">
        <f>"IL"</f>
        <v>IL</v>
      </c>
      <c r="E4315" s="2">
        <v>1</v>
      </c>
      <c r="F4315" s="2">
        <v>1</v>
      </c>
      <c r="G4315" s="2">
        <v>1</v>
      </c>
      <c r="H4315" s="2">
        <v>1</v>
      </c>
    </row>
    <row r="4316" spans="1:8" x14ac:dyDescent="0.25">
      <c r="A4316" s="1" t="str">
        <f>"08019"</f>
        <v>08019</v>
      </c>
      <c r="B4316" s="1" t="str">
        <f>"15804"</f>
        <v>15804</v>
      </c>
      <c r="C4316" s="1" t="str">
        <f>"CHATSWORTH"</f>
        <v>CHATSWORTH</v>
      </c>
      <c r="D4316" s="1" t="str">
        <f>"NJ"</f>
        <v>NJ</v>
      </c>
      <c r="E4316" s="2">
        <v>1</v>
      </c>
      <c r="F4316" s="2">
        <v>1</v>
      </c>
      <c r="G4316" s="2">
        <v>1</v>
      </c>
      <c r="H4316" s="2">
        <v>1</v>
      </c>
    </row>
    <row r="4317" spans="1:8" x14ac:dyDescent="0.25">
      <c r="A4317" s="1" t="str">
        <f>"33082"</f>
        <v>33082</v>
      </c>
      <c r="B4317" s="1" t="str">
        <f>"22744"</f>
        <v>22744</v>
      </c>
      <c r="C4317" s="1" t="str">
        <f>"PEMBROKE PINES"</f>
        <v>PEMBROKE PINES</v>
      </c>
      <c r="D4317" s="1" t="str">
        <f>"FL"</f>
        <v>FL</v>
      </c>
      <c r="E4317" s="2">
        <v>1</v>
      </c>
      <c r="F4317" s="2">
        <v>1</v>
      </c>
      <c r="G4317" s="2">
        <v>1</v>
      </c>
      <c r="H4317" s="2">
        <v>1</v>
      </c>
    </row>
    <row r="4318" spans="1:8" x14ac:dyDescent="0.25">
      <c r="A4318" s="1" t="str">
        <f>"60673"</f>
        <v>60673</v>
      </c>
      <c r="B4318" s="1" t="str">
        <f>"16984"</f>
        <v>16984</v>
      </c>
      <c r="C4318" s="1" t="str">
        <f>"CHICAGO"</f>
        <v>CHICAGO</v>
      </c>
      <c r="D4318" s="1" t="str">
        <f>"IL"</f>
        <v>IL</v>
      </c>
      <c r="E4318" s="2">
        <v>0</v>
      </c>
      <c r="F4318" s="2">
        <v>0</v>
      </c>
      <c r="G4318" s="2">
        <v>1</v>
      </c>
      <c r="H4318" s="2">
        <v>1</v>
      </c>
    </row>
    <row r="4319" spans="1:8" x14ac:dyDescent="0.25">
      <c r="A4319" s="1" t="str">
        <f>"10597"</f>
        <v>10597</v>
      </c>
      <c r="B4319" s="1" t="str">
        <f>"35614"</f>
        <v>35614</v>
      </c>
      <c r="C4319" s="1" t="str">
        <f>"WACCABUC"</f>
        <v>WACCABUC</v>
      </c>
      <c r="D4319" s="1" t="str">
        <f>"NY"</f>
        <v>NY</v>
      </c>
      <c r="E4319" s="2">
        <v>1</v>
      </c>
      <c r="F4319" s="2">
        <v>1</v>
      </c>
      <c r="G4319" s="2">
        <v>1</v>
      </c>
      <c r="H4319" s="2">
        <v>1</v>
      </c>
    </row>
    <row r="4320" spans="1:8" x14ac:dyDescent="0.25">
      <c r="A4320" s="1" t="str">
        <f>"19450"</f>
        <v>19450</v>
      </c>
      <c r="B4320" s="1" t="str">
        <f>"33874"</f>
        <v>33874</v>
      </c>
      <c r="C4320" s="1" t="str">
        <f>"LEDERACH"</f>
        <v>LEDERACH</v>
      </c>
      <c r="D4320" s="1" t="str">
        <f>"PA"</f>
        <v>PA</v>
      </c>
      <c r="E4320" s="2">
        <v>1</v>
      </c>
      <c r="F4320" s="2">
        <v>1</v>
      </c>
      <c r="G4320" s="2">
        <v>1</v>
      </c>
      <c r="H4320" s="2">
        <v>1</v>
      </c>
    </row>
    <row r="4321" spans="1:8" x14ac:dyDescent="0.25">
      <c r="A4321" s="1" t="str">
        <f>"94940"</f>
        <v>94940</v>
      </c>
      <c r="B4321" s="1" t="str">
        <f>"42034"</f>
        <v>42034</v>
      </c>
      <c r="C4321" s="1" t="str">
        <f>"MARSHALL"</f>
        <v>MARSHALL</v>
      </c>
      <c r="D4321" s="1" t="str">
        <f>"CA"</f>
        <v>CA</v>
      </c>
      <c r="E4321" s="2">
        <v>1</v>
      </c>
      <c r="F4321" s="2">
        <v>0</v>
      </c>
      <c r="G4321" s="2">
        <v>1</v>
      </c>
      <c r="H4321" s="2">
        <v>1</v>
      </c>
    </row>
    <row r="4322" spans="1:8" x14ac:dyDescent="0.25">
      <c r="A4322" s="1" t="str">
        <f>"20113"</f>
        <v>20113</v>
      </c>
      <c r="B4322" s="1" t="str">
        <f>"47894"</f>
        <v>47894</v>
      </c>
      <c r="C4322" s="1" t="str">
        <f>"MANASSAS"</f>
        <v>MANASSAS</v>
      </c>
      <c r="D4322" s="1" t="str">
        <f>"VA"</f>
        <v>VA</v>
      </c>
      <c r="E4322" s="2">
        <v>1</v>
      </c>
      <c r="F4322" s="2">
        <v>1</v>
      </c>
      <c r="G4322" s="2">
        <v>1</v>
      </c>
      <c r="H4322" s="2">
        <v>1</v>
      </c>
    </row>
    <row r="4323" spans="1:8" x14ac:dyDescent="0.25">
      <c r="A4323" s="1" t="str">
        <f>"94614"</f>
        <v>94614</v>
      </c>
      <c r="B4323" s="1" t="str">
        <f>"36084"</f>
        <v>36084</v>
      </c>
      <c r="C4323" s="1" t="str">
        <f>"OAKLAND"</f>
        <v>OAKLAND</v>
      </c>
      <c r="D4323" s="1" t="str">
        <f>"CA"</f>
        <v>CA</v>
      </c>
      <c r="E4323" s="2">
        <v>1</v>
      </c>
      <c r="F4323" s="2">
        <v>1</v>
      </c>
      <c r="G4323" s="2">
        <v>1</v>
      </c>
      <c r="H4323" s="2">
        <v>1</v>
      </c>
    </row>
    <row r="4324" spans="1:8" x14ac:dyDescent="0.25">
      <c r="A4324" s="1" t="str">
        <f>"22412"</f>
        <v>22412</v>
      </c>
      <c r="B4324" s="1" t="str">
        <f>"47894"</f>
        <v>47894</v>
      </c>
      <c r="C4324" s="1" t="str">
        <f>"FREDERICKSBURG"</f>
        <v>FREDERICKSBURG</v>
      </c>
      <c r="D4324" s="1" t="str">
        <f>"VA"</f>
        <v>VA</v>
      </c>
      <c r="E4324" s="2">
        <v>0</v>
      </c>
      <c r="F4324" s="2">
        <v>0</v>
      </c>
      <c r="G4324" s="2">
        <v>1</v>
      </c>
      <c r="H4324" s="2">
        <v>1</v>
      </c>
    </row>
    <row r="4325" spans="1:8" x14ac:dyDescent="0.25">
      <c r="A4325" s="1" t="str">
        <f>"19884"</f>
        <v>19884</v>
      </c>
      <c r="B4325" s="1" t="str">
        <f>"48864"</f>
        <v>48864</v>
      </c>
      <c r="C4325" s="1" t="str">
        <f>"WILMINGTON"</f>
        <v>WILMINGTON</v>
      </c>
      <c r="D4325" s="1" t="str">
        <f>"DE"</f>
        <v>DE</v>
      </c>
      <c r="E4325" s="2">
        <v>0</v>
      </c>
      <c r="F4325" s="2">
        <v>1</v>
      </c>
      <c r="G4325" s="2">
        <v>1</v>
      </c>
      <c r="H4325" s="2">
        <v>1</v>
      </c>
    </row>
    <row r="4326" spans="1:8" x14ac:dyDescent="0.25">
      <c r="A4326" s="1" t="str">
        <f>"20444"</f>
        <v>20444</v>
      </c>
      <c r="B4326" s="1" t="str">
        <f>"47894"</f>
        <v>47894</v>
      </c>
      <c r="C4326" s="1" t="str">
        <f>"WASHINGTON"</f>
        <v>WASHINGTON</v>
      </c>
      <c r="D4326" s="1" t="str">
        <f>"DC"</f>
        <v>DC</v>
      </c>
      <c r="E4326" s="2">
        <v>0</v>
      </c>
      <c r="F4326" s="2">
        <v>1</v>
      </c>
      <c r="G4326" s="2">
        <v>0</v>
      </c>
      <c r="H4326" s="2">
        <v>1</v>
      </c>
    </row>
    <row r="4327" spans="1:8" x14ac:dyDescent="0.25">
      <c r="A4327" s="1" t="str">
        <f>"93563"</f>
        <v>93563</v>
      </c>
      <c r="B4327" s="1" t="str">
        <f>"31084"</f>
        <v>31084</v>
      </c>
      <c r="C4327" s="1" t="str">
        <f>"VALYERMO"</f>
        <v>VALYERMO</v>
      </c>
      <c r="D4327" s="1" t="str">
        <f>"CA"</f>
        <v>CA</v>
      </c>
      <c r="E4327" s="2">
        <v>1</v>
      </c>
      <c r="F4327" s="2">
        <v>1</v>
      </c>
      <c r="G4327" s="2">
        <v>1</v>
      </c>
      <c r="H4327" s="2">
        <v>1</v>
      </c>
    </row>
    <row r="4328" spans="1:8" x14ac:dyDescent="0.25">
      <c r="A4328" s="1" t="str">
        <f>"91522"</f>
        <v>91522</v>
      </c>
      <c r="B4328" s="1" t="str">
        <f>"31084"</f>
        <v>31084</v>
      </c>
      <c r="C4328" s="1" t="str">
        <f>"BURBANK"</f>
        <v>BURBANK</v>
      </c>
      <c r="D4328" s="1" t="str">
        <f>"CA"</f>
        <v>CA</v>
      </c>
      <c r="E4328" s="2">
        <v>0</v>
      </c>
      <c r="F4328" s="2">
        <v>1</v>
      </c>
      <c r="G4328" s="2">
        <v>0</v>
      </c>
      <c r="H4328" s="2">
        <v>1</v>
      </c>
    </row>
    <row r="4329" spans="1:8" x14ac:dyDescent="0.25">
      <c r="A4329" s="1" t="str">
        <f>"01910"</f>
        <v>01910</v>
      </c>
      <c r="B4329" s="1" t="str">
        <f>"15764"</f>
        <v>15764</v>
      </c>
      <c r="C4329" s="1" t="str">
        <f>"LYNN"</f>
        <v>LYNN</v>
      </c>
      <c r="D4329" s="1" t="str">
        <f>"MA"</f>
        <v>MA</v>
      </c>
      <c r="E4329" s="2">
        <v>0</v>
      </c>
      <c r="F4329" s="2">
        <v>1</v>
      </c>
      <c r="G4329" s="2">
        <v>0</v>
      </c>
      <c r="H4329" s="2">
        <v>1</v>
      </c>
    </row>
    <row r="4330" spans="1:8" x14ac:dyDescent="0.25">
      <c r="A4330" s="1" t="str">
        <f>"20551"</f>
        <v>20551</v>
      </c>
      <c r="B4330" s="1" t="str">
        <f>"47894"</f>
        <v>47894</v>
      </c>
      <c r="C4330" s="1" t="str">
        <f>"WASHINGTON"</f>
        <v>WASHINGTON</v>
      </c>
      <c r="D4330" s="1" t="str">
        <f>"DC"</f>
        <v>DC</v>
      </c>
      <c r="E4330" s="2">
        <v>0</v>
      </c>
      <c r="F4330" s="2">
        <v>1</v>
      </c>
      <c r="G4330" s="2">
        <v>0</v>
      </c>
      <c r="H4330" s="2">
        <v>1</v>
      </c>
    </row>
    <row r="4331" spans="1:8" x14ac:dyDescent="0.25">
      <c r="A4331" s="1" t="str">
        <f>"18460"</f>
        <v>18460</v>
      </c>
      <c r="B4331" s="1" t="str">
        <f>"35084"</f>
        <v>35084</v>
      </c>
      <c r="C4331" s="1" t="str">
        <f>"SOUTH STERLING"</f>
        <v>SOUTH STERLING</v>
      </c>
      <c r="D4331" s="1" t="str">
        <f>"PA"</f>
        <v>PA</v>
      </c>
      <c r="E4331" s="2">
        <v>1</v>
      </c>
      <c r="F4331" s="2">
        <v>1</v>
      </c>
      <c r="G4331" s="2">
        <v>0</v>
      </c>
      <c r="H4331" s="2">
        <v>1</v>
      </c>
    </row>
    <row r="4332" spans="1:8" x14ac:dyDescent="0.25">
      <c r="A4332" s="1" t="str">
        <f>"20401"</f>
        <v>20401</v>
      </c>
      <c r="B4332" s="1" t="str">
        <f>"47894"</f>
        <v>47894</v>
      </c>
      <c r="C4332" s="1" t="str">
        <f>"WASHINGTON"</f>
        <v>WASHINGTON</v>
      </c>
      <c r="D4332" s="1" t="str">
        <f>"DC"</f>
        <v>DC</v>
      </c>
      <c r="E4332" s="2">
        <v>0</v>
      </c>
      <c r="F4332" s="2">
        <v>1</v>
      </c>
      <c r="G4332" s="2">
        <v>0</v>
      </c>
      <c r="H4332" s="2">
        <v>1</v>
      </c>
    </row>
    <row r="4333" spans="1:8" x14ac:dyDescent="0.25">
      <c r="A4333" s="1" t="str">
        <f>"07399"</f>
        <v>07399</v>
      </c>
      <c r="B4333" s="1" t="str">
        <f>"35614"</f>
        <v>35614</v>
      </c>
      <c r="C4333" s="1" t="str">
        <f>"JERSEY CITY"</f>
        <v>JERSEY CITY</v>
      </c>
      <c r="D4333" s="1" t="str">
        <f>"NJ"</f>
        <v>NJ</v>
      </c>
      <c r="E4333" s="2">
        <v>0</v>
      </c>
      <c r="F4333" s="2">
        <v>1</v>
      </c>
      <c r="G4333" s="2">
        <v>0</v>
      </c>
      <c r="H4333" s="2">
        <v>1</v>
      </c>
    </row>
    <row r="4334" spans="1:8" x14ac:dyDescent="0.25">
      <c r="A4334" s="1" t="str">
        <f>"20463"</f>
        <v>20463</v>
      </c>
      <c r="B4334" s="1" t="str">
        <f>"47894"</f>
        <v>47894</v>
      </c>
      <c r="C4334" s="1" t="str">
        <f>"WASHINGTON"</f>
        <v>WASHINGTON</v>
      </c>
      <c r="D4334" s="1" t="str">
        <f>"DC"</f>
        <v>DC</v>
      </c>
      <c r="E4334" s="2">
        <v>0</v>
      </c>
      <c r="F4334" s="2">
        <v>1</v>
      </c>
      <c r="G4334" s="2">
        <v>0</v>
      </c>
      <c r="H4334" s="2">
        <v>1</v>
      </c>
    </row>
    <row r="4335" spans="1:8" x14ac:dyDescent="0.25">
      <c r="A4335" s="1" t="str">
        <f>"20104"</f>
        <v>20104</v>
      </c>
      <c r="B4335" s="1" t="str">
        <f>"47894"</f>
        <v>47894</v>
      </c>
      <c r="C4335" s="1" t="str">
        <f>"DULLES"</f>
        <v>DULLES</v>
      </c>
      <c r="D4335" s="1" t="str">
        <f>"VA"</f>
        <v>VA</v>
      </c>
      <c r="E4335" s="2">
        <v>0</v>
      </c>
      <c r="F4335" s="2">
        <v>1</v>
      </c>
      <c r="G4335" s="2">
        <v>0</v>
      </c>
      <c r="H4335" s="2">
        <v>1</v>
      </c>
    </row>
    <row r="4336" spans="1:8" x14ac:dyDescent="0.25">
      <c r="A4336" s="1" t="str">
        <f>"91123"</f>
        <v>91123</v>
      </c>
      <c r="B4336" s="1" t="str">
        <f>"31084"</f>
        <v>31084</v>
      </c>
      <c r="C4336" s="1" t="str">
        <f>"PASADENA"</f>
        <v>PASADENA</v>
      </c>
      <c r="D4336" s="1" t="str">
        <f>"CA"</f>
        <v>CA</v>
      </c>
      <c r="E4336" s="2">
        <v>0</v>
      </c>
      <c r="F4336" s="2">
        <v>0</v>
      </c>
      <c r="G4336" s="2">
        <v>1</v>
      </c>
      <c r="H4336" s="2">
        <v>1</v>
      </c>
    </row>
    <row r="4337" spans="1:8" x14ac:dyDescent="0.25">
      <c r="A4337" s="1" t="str">
        <f>"03859"</f>
        <v>03859</v>
      </c>
      <c r="B4337" s="1" t="str">
        <f>"40484"</f>
        <v>40484</v>
      </c>
      <c r="C4337" s="1" t="str">
        <f>"NEWTON JUNCTION"</f>
        <v>NEWTON JUNCTION</v>
      </c>
      <c r="D4337" s="1" t="str">
        <f>"NH"</f>
        <v>NH</v>
      </c>
      <c r="E4337" s="2">
        <v>0</v>
      </c>
      <c r="F4337" s="2">
        <v>0</v>
      </c>
      <c r="G4337" s="2">
        <v>1</v>
      </c>
      <c r="H4337" s="2">
        <v>1</v>
      </c>
    </row>
    <row r="4338" spans="1:8" x14ac:dyDescent="0.25">
      <c r="A4338" s="1" t="str">
        <f>"91496"</f>
        <v>91496</v>
      </c>
      <c r="B4338" s="1" t="str">
        <f>"31084"</f>
        <v>31084</v>
      </c>
      <c r="C4338" s="1" t="str">
        <f>"VAN NUYS"</f>
        <v>VAN NUYS</v>
      </c>
      <c r="D4338" s="1" t="str">
        <f>"CA"</f>
        <v>CA</v>
      </c>
      <c r="E4338" s="2">
        <v>0</v>
      </c>
      <c r="F4338" s="2">
        <v>0</v>
      </c>
      <c r="G4338" s="2">
        <v>1</v>
      </c>
      <c r="H4338" s="2">
        <v>1</v>
      </c>
    </row>
    <row r="4339" spans="1:8" x14ac:dyDescent="0.25">
      <c r="A4339" s="1" t="str">
        <f>"98398"</f>
        <v>98398</v>
      </c>
      <c r="B4339" s="1" t="str">
        <f>"45104"</f>
        <v>45104</v>
      </c>
      <c r="C4339" s="1" t="str">
        <f>"PARADISE INN"</f>
        <v>PARADISE INN</v>
      </c>
      <c r="D4339" s="1" t="str">
        <f>"WA"</f>
        <v>WA</v>
      </c>
      <c r="E4339" s="2">
        <v>0</v>
      </c>
      <c r="F4339" s="2">
        <v>1</v>
      </c>
      <c r="G4339" s="2">
        <v>0</v>
      </c>
      <c r="H4339" s="2">
        <v>1</v>
      </c>
    </row>
    <row r="4340" spans="1:8" x14ac:dyDescent="0.25">
      <c r="A4340" s="1" t="str">
        <f>"20139"</f>
        <v>20139</v>
      </c>
      <c r="B4340" s="1" t="str">
        <f>"47894"</f>
        <v>47894</v>
      </c>
      <c r="C4340" s="1" t="str">
        <f>"CASANOVA"</f>
        <v>CASANOVA</v>
      </c>
      <c r="D4340" s="1" t="str">
        <f>"VA"</f>
        <v>VA</v>
      </c>
      <c r="E4340" s="2">
        <v>1</v>
      </c>
      <c r="F4340" s="2">
        <v>1</v>
      </c>
      <c r="G4340" s="2">
        <v>0</v>
      </c>
      <c r="H4340" s="2">
        <v>1</v>
      </c>
    </row>
    <row r="4341" spans="1:8" x14ac:dyDescent="0.25">
      <c r="A4341" s="1" t="str">
        <f>"20306"</f>
        <v>20306</v>
      </c>
      <c r="B4341" s="1" t="str">
        <f>"47894"</f>
        <v>47894</v>
      </c>
      <c r="C4341" s="1" t="str">
        <f>"WASHINGTON"</f>
        <v>WASHINGTON</v>
      </c>
      <c r="D4341" s="1" t="str">
        <f>"DC"</f>
        <v>DC</v>
      </c>
      <c r="E4341" s="2">
        <v>0</v>
      </c>
      <c r="F4341" s="2">
        <v>1</v>
      </c>
      <c r="G4341" s="2">
        <v>0</v>
      </c>
      <c r="H4341" s="2">
        <v>1</v>
      </c>
    </row>
    <row r="4342" spans="1:8" x14ac:dyDescent="0.25">
      <c r="A4342" s="1" t="str">
        <f>"02702"</f>
        <v>02702</v>
      </c>
      <c r="B4342" s="1" t="str">
        <f>"14454"</f>
        <v>14454</v>
      </c>
      <c r="C4342" s="1" t="str">
        <f>"ASSONET"</f>
        <v>ASSONET</v>
      </c>
      <c r="D4342" s="1" t="str">
        <f>"MA"</f>
        <v>MA</v>
      </c>
      <c r="E4342" s="2">
        <v>1</v>
      </c>
      <c r="F4342" s="2">
        <v>0</v>
      </c>
      <c r="G4342" s="2">
        <v>0</v>
      </c>
      <c r="H4342" s="2">
        <v>1</v>
      </c>
    </row>
    <row r="4343" spans="1:8" x14ac:dyDescent="0.25">
      <c r="A4343" s="1" t="str">
        <f>"20546"</f>
        <v>20546</v>
      </c>
      <c r="B4343" s="1" t="str">
        <f>"47894"</f>
        <v>47894</v>
      </c>
      <c r="C4343" s="1" t="str">
        <f>"WASHINGTON"</f>
        <v>WASHINGTON</v>
      </c>
      <c r="D4343" s="1" t="str">
        <f>"DC"</f>
        <v>DC</v>
      </c>
      <c r="E4343" s="2">
        <v>0</v>
      </c>
      <c r="F4343" s="2">
        <v>1</v>
      </c>
      <c r="G4343" s="2">
        <v>0</v>
      </c>
      <c r="H4343" s="2">
        <v>1</v>
      </c>
    </row>
    <row r="4344" spans="1:8" x14ac:dyDescent="0.25">
      <c r="A4344" s="1" t="str">
        <f>"01431"</f>
        <v>01431</v>
      </c>
      <c r="B4344" s="1" t="str">
        <f>"15764"</f>
        <v>15764</v>
      </c>
      <c r="C4344" s="1" t="str">
        <f>"ASHBY"</f>
        <v>ASHBY</v>
      </c>
      <c r="D4344" s="1" t="str">
        <f t="shared" ref="D4344:D4353" si="328">"MA"</f>
        <v>MA</v>
      </c>
      <c r="E4344" s="2">
        <v>1</v>
      </c>
      <c r="F4344" s="2">
        <v>1</v>
      </c>
      <c r="G4344" s="2">
        <v>1</v>
      </c>
      <c r="H4344" s="2">
        <v>1</v>
      </c>
    </row>
    <row r="4345" spans="1:8" x14ac:dyDescent="0.25">
      <c r="A4345" s="1" t="str">
        <f>"01464"</f>
        <v>01464</v>
      </c>
      <c r="B4345" s="1" t="str">
        <f>"15764"</f>
        <v>15764</v>
      </c>
      <c r="C4345" s="1" t="str">
        <f>"SHIRLEY"</f>
        <v>SHIRLEY</v>
      </c>
      <c r="D4345" s="1" t="str">
        <f t="shared" si="328"/>
        <v>MA</v>
      </c>
      <c r="E4345" s="2">
        <v>1</v>
      </c>
      <c r="F4345" s="2">
        <v>1</v>
      </c>
      <c r="G4345" s="2">
        <v>1</v>
      </c>
      <c r="H4345" s="2">
        <v>1</v>
      </c>
    </row>
    <row r="4346" spans="1:8" x14ac:dyDescent="0.25">
      <c r="A4346" s="1" t="str">
        <f>"01888"</f>
        <v>01888</v>
      </c>
      <c r="B4346" s="1" t="str">
        <f>"15764"</f>
        <v>15764</v>
      </c>
      <c r="C4346" s="1" t="str">
        <f>"WOBURN"</f>
        <v>WOBURN</v>
      </c>
      <c r="D4346" s="1" t="str">
        <f t="shared" si="328"/>
        <v>MA</v>
      </c>
      <c r="E4346" s="2">
        <v>1</v>
      </c>
      <c r="F4346" s="2">
        <v>1</v>
      </c>
      <c r="G4346" s="2">
        <v>1</v>
      </c>
      <c r="H4346" s="2">
        <v>1</v>
      </c>
    </row>
    <row r="4347" spans="1:8" x14ac:dyDescent="0.25">
      <c r="A4347" s="1" t="str">
        <f>"02050"</f>
        <v>02050</v>
      </c>
      <c r="B4347" s="1" t="str">
        <f>"14454"</f>
        <v>14454</v>
      </c>
      <c r="C4347" s="1" t="str">
        <f>"MARSHFIELD"</f>
        <v>MARSHFIELD</v>
      </c>
      <c r="D4347" s="1" t="str">
        <f t="shared" si="328"/>
        <v>MA</v>
      </c>
      <c r="E4347" s="2">
        <v>1</v>
      </c>
      <c r="F4347" s="2">
        <v>1</v>
      </c>
      <c r="G4347" s="2">
        <v>1</v>
      </c>
      <c r="H4347" s="2">
        <v>1</v>
      </c>
    </row>
    <row r="4348" spans="1:8" x14ac:dyDescent="0.25">
      <c r="A4348" s="1" t="str">
        <f>"02053"</f>
        <v>02053</v>
      </c>
      <c r="B4348" s="1" t="str">
        <f>"14454"</f>
        <v>14454</v>
      </c>
      <c r="C4348" s="1" t="str">
        <f>"MEDWAY"</f>
        <v>MEDWAY</v>
      </c>
      <c r="D4348" s="1" t="str">
        <f t="shared" si="328"/>
        <v>MA</v>
      </c>
      <c r="E4348" s="2">
        <v>0.98366712035776704</v>
      </c>
      <c r="F4348" s="2">
        <v>1</v>
      </c>
      <c r="G4348" s="2">
        <v>1</v>
      </c>
      <c r="H4348" s="2">
        <v>0.985203452527743</v>
      </c>
    </row>
    <row r="4349" spans="1:8" x14ac:dyDescent="0.25">
      <c r="A4349" s="1" t="str">
        <f>"02053"</f>
        <v>02053</v>
      </c>
      <c r="B4349" s="1" t="str">
        <f>"15764"</f>
        <v>15764</v>
      </c>
      <c r="C4349" s="1" t="str">
        <f>"MEDWAY"</f>
        <v>MEDWAY</v>
      </c>
      <c r="D4349" s="1" t="str">
        <f t="shared" si="328"/>
        <v>MA</v>
      </c>
      <c r="E4349" s="2">
        <v>1.6332879642232099E-2</v>
      </c>
      <c r="F4349" s="2">
        <v>0</v>
      </c>
      <c r="G4349" s="2">
        <v>0</v>
      </c>
      <c r="H4349" s="2">
        <v>1.4796547472256401E-2</v>
      </c>
    </row>
    <row r="4350" spans="1:8" x14ac:dyDescent="0.25">
      <c r="A4350" s="1" t="str">
        <f>"02152"</f>
        <v>02152</v>
      </c>
      <c r="B4350" s="1" t="str">
        <f>"14454"</f>
        <v>14454</v>
      </c>
      <c r="C4350" s="1" t="str">
        <f>"WINTHROP"</f>
        <v>WINTHROP</v>
      </c>
      <c r="D4350" s="1" t="str">
        <f t="shared" si="328"/>
        <v>MA</v>
      </c>
      <c r="E4350" s="2">
        <v>1</v>
      </c>
      <c r="F4350" s="2">
        <v>1</v>
      </c>
      <c r="G4350" s="2">
        <v>1</v>
      </c>
      <c r="H4350" s="2">
        <v>1</v>
      </c>
    </row>
    <row r="4351" spans="1:8" x14ac:dyDescent="0.25">
      <c r="A4351" s="1" t="str">
        <f>"02346"</f>
        <v>02346</v>
      </c>
      <c r="B4351" s="1" t="str">
        <f>"14454"</f>
        <v>14454</v>
      </c>
      <c r="C4351" s="1" t="str">
        <f>"MIDDLEBORO"</f>
        <v>MIDDLEBORO</v>
      </c>
      <c r="D4351" s="1" t="str">
        <f t="shared" si="328"/>
        <v>MA</v>
      </c>
      <c r="E4351" s="2">
        <v>1</v>
      </c>
      <c r="F4351" s="2">
        <v>1</v>
      </c>
      <c r="G4351" s="2">
        <v>1</v>
      </c>
      <c r="H4351" s="2">
        <v>1</v>
      </c>
    </row>
    <row r="4352" spans="1:8" x14ac:dyDescent="0.25">
      <c r="A4352" s="1" t="str">
        <f>"02332"</f>
        <v>02332</v>
      </c>
      <c r="B4352" s="1" t="str">
        <f>"14454"</f>
        <v>14454</v>
      </c>
      <c r="C4352" s="1" t="str">
        <f>"DUXBURY"</f>
        <v>DUXBURY</v>
      </c>
      <c r="D4352" s="1" t="str">
        <f t="shared" si="328"/>
        <v>MA</v>
      </c>
      <c r="E4352" s="2">
        <v>1</v>
      </c>
      <c r="F4352" s="2">
        <v>1</v>
      </c>
      <c r="G4352" s="2">
        <v>1</v>
      </c>
      <c r="H4352" s="2">
        <v>1</v>
      </c>
    </row>
    <row r="4353" spans="1:8" x14ac:dyDescent="0.25">
      <c r="A4353" s="1" t="str">
        <f>"02367"</f>
        <v>02367</v>
      </c>
      <c r="B4353" s="1" t="str">
        <f>"14454"</f>
        <v>14454</v>
      </c>
      <c r="C4353" s="1" t="str">
        <f>"PLYMPTON"</f>
        <v>PLYMPTON</v>
      </c>
      <c r="D4353" s="1" t="str">
        <f t="shared" si="328"/>
        <v>MA</v>
      </c>
      <c r="E4353" s="2">
        <v>1</v>
      </c>
      <c r="F4353" s="2">
        <v>1</v>
      </c>
      <c r="G4353" s="2">
        <v>1</v>
      </c>
      <c r="H4353" s="2">
        <v>1</v>
      </c>
    </row>
    <row r="4354" spans="1:8" x14ac:dyDescent="0.25">
      <c r="A4354" s="1" t="str">
        <f>"07015"</f>
        <v>07015</v>
      </c>
      <c r="B4354" s="1" t="str">
        <f>"35614"</f>
        <v>35614</v>
      </c>
      <c r="C4354" s="1" t="str">
        <f>"CLIFTON"</f>
        <v>CLIFTON</v>
      </c>
      <c r="D4354" s="1" t="str">
        <f t="shared" ref="D4354:D4377" si="329">"NJ"</f>
        <v>NJ</v>
      </c>
      <c r="E4354" s="2">
        <v>1</v>
      </c>
      <c r="F4354" s="2">
        <v>1</v>
      </c>
      <c r="G4354" s="2">
        <v>1</v>
      </c>
      <c r="H4354" s="2">
        <v>1</v>
      </c>
    </row>
    <row r="4355" spans="1:8" x14ac:dyDescent="0.25">
      <c r="A4355" s="1" t="str">
        <f>"07062"</f>
        <v>07062</v>
      </c>
      <c r="B4355" s="1" t="str">
        <f>"35084"</f>
        <v>35084</v>
      </c>
      <c r="C4355" s="1" t="str">
        <f>"PLAINFIELD"</f>
        <v>PLAINFIELD</v>
      </c>
      <c r="D4355" s="1" t="str">
        <f t="shared" si="329"/>
        <v>NJ</v>
      </c>
      <c r="E4355" s="2">
        <v>0.90976163450624203</v>
      </c>
      <c r="F4355" s="2">
        <v>0.99672131147540899</v>
      </c>
      <c r="G4355" s="2">
        <v>0.99746192893400998</v>
      </c>
      <c r="H4355" s="2">
        <v>0.91996658312447699</v>
      </c>
    </row>
    <row r="4356" spans="1:8" x14ac:dyDescent="0.25">
      <c r="A4356" s="1" t="str">
        <f>"07062"</f>
        <v>07062</v>
      </c>
      <c r="B4356" s="1" t="str">
        <f>"35154"</f>
        <v>35154</v>
      </c>
      <c r="C4356" s="1" t="str">
        <f>"PLAINFIELD"</f>
        <v>PLAINFIELD</v>
      </c>
      <c r="D4356" s="1" t="str">
        <f t="shared" si="329"/>
        <v>NJ</v>
      </c>
      <c r="E4356" s="2">
        <v>9.0238365493756995E-2</v>
      </c>
      <c r="F4356" s="2">
        <v>3.27868852459016E-3</v>
      </c>
      <c r="G4356" s="2">
        <v>2.5380710659898401E-3</v>
      </c>
      <c r="H4356" s="2">
        <v>8.0033416875522095E-2</v>
      </c>
    </row>
    <row r="4357" spans="1:8" x14ac:dyDescent="0.25">
      <c r="A4357" s="1" t="str">
        <f>"07103"</f>
        <v>07103</v>
      </c>
      <c r="B4357" s="1" t="str">
        <f>"35084"</f>
        <v>35084</v>
      </c>
      <c r="C4357" s="1" t="str">
        <f>"NEWARK"</f>
        <v>NEWARK</v>
      </c>
      <c r="D4357" s="1" t="str">
        <f t="shared" si="329"/>
        <v>NJ</v>
      </c>
      <c r="E4357" s="2">
        <v>1</v>
      </c>
      <c r="F4357" s="2">
        <v>1</v>
      </c>
      <c r="G4357" s="2">
        <v>1</v>
      </c>
      <c r="H4357" s="2">
        <v>1</v>
      </c>
    </row>
    <row r="4358" spans="1:8" x14ac:dyDescent="0.25">
      <c r="A4358" s="1" t="str">
        <f>"07109"</f>
        <v>07109</v>
      </c>
      <c r="B4358" s="1" t="str">
        <f>"35084"</f>
        <v>35084</v>
      </c>
      <c r="C4358" s="1" t="str">
        <f>"BELLEVILLE"</f>
        <v>BELLEVILLE</v>
      </c>
      <c r="D4358" s="1" t="str">
        <f t="shared" si="329"/>
        <v>NJ</v>
      </c>
      <c r="E4358" s="2">
        <v>1</v>
      </c>
      <c r="F4358" s="2">
        <v>1</v>
      </c>
      <c r="G4358" s="2">
        <v>1</v>
      </c>
      <c r="H4358" s="2">
        <v>1</v>
      </c>
    </row>
    <row r="4359" spans="1:8" x14ac:dyDescent="0.25">
      <c r="A4359" s="1" t="str">
        <f>"07205"</f>
        <v>07205</v>
      </c>
      <c r="B4359" s="1" t="str">
        <f>"35084"</f>
        <v>35084</v>
      </c>
      <c r="C4359" s="1" t="str">
        <f>"HILLSIDE"</f>
        <v>HILLSIDE</v>
      </c>
      <c r="D4359" s="1" t="str">
        <f t="shared" si="329"/>
        <v>NJ</v>
      </c>
      <c r="E4359" s="2">
        <v>1</v>
      </c>
      <c r="F4359" s="2">
        <v>1</v>
      </c>
      <c r="G4359" s="2">
        <v>1</v>
      </c>
      <c r="H4359" s="2">
        <v>1</v>
      </c>
    </row>
    <row r="4360" spans="1:8" x14ac:dyDescent="0.25">
      <c r="A4360" s="1" t="str">
        <f>"07204"</f>
        <v>07204</v>
      </c>
      <c r="B4360" s="1" t="str">
        <f>"35084"</f>
        <v>35084</v>
      </c>
      <c r="C4360" s="1" t="str">
        <f>"ROSELLE PARK"</f>
        <v>ROSELLE PARK</v>
      </c>
      <c r="D4360" s="1" t="str">
        <f t="shared" si="329"/>
        <v>NJ</v>
      </c>
      <c r="E4360" s="2">
        <v>1</v>
      </c>
      <c r="F4360" s="2">
        <v>1</v>
      </c>
      <c r="G4360" s="2">
        <v>1</v>
      </c>
      <c r="H4360" s="2">
        <v>1</v>
      </c>
    </row>
    <row r="4361" spans="1:8" x14ac:dyDescent="0.25">
      <c r="A4361" s="1" t="str">
        <f>"07432"</f>
        <v>07432</v>
      </c>
      <c r="B4361" s="1" t="str">
        <f>"35614"</f>
        <v>35614</v>
      </c>
      <c r="C4361" s="1" t="str">
        <f>"MIDLAND PARK"</f>
        <v>MIDLAND PARK</v>
      </c>
      <c r="D4361" s="1" t="str">
        <f t="shared" si="329"/>
        <v>NJ</v>
      </c>
      <c r="E4361" s="2">
        <v>1</v>
      </c>
      <c r="F4361" s="2">
        <v>1</v>
      </c>
      <c r="G4361" s="2">
        <v>1</v>
      </c>
      <c r="H4361" s="2">
        <v>1</v>
      </c>
    </row>
    <row r="4362" spans="1:8" x14ac:dyDescent="0.25">
      <c r="A4362" s="1" t="str">
        <f>"07310"</f>
        <v>07310</v>
      </c>
      <c r="B4362" s="1" t="str">
        <f>"35614"</f>
        <v>35614</v>
      </c>
      <c r="C4362" s="1" t="str">
        <f>"JERSEY CITY"</f>
        <v>JERSEY CITY</v>
      </c>
      <c r="D4362" s="1" t="str">
        <f t="shared" si="329"/>
        <v>NJ</v>
      </c>
      <c r="E4362" s="2">
        <v>1</v>
      </c>
      <c r="F4362" s="2">
        <v>1</v>
      </c>
      <c r="G4362" s="2">
        <v>1</v>
      </c>
      <c r="H4362" s="2">
        <v>1</v>
      </c>
    </row>
    <row r="4363" spans="1:8" x14ac:dyDescent="0.25">
      <c r="A4363" s="1" t="str">
        <f>"07416"</f>
        <v>07416</v>
      </c>
      <c r="B4363" s="1" t="str">
        <f>"35084"</f>
        <v>35084</v>
      </c>
      <c r="C4363" s="1" t="str">
        <f>"FRANKLIN"</f>
        <v>FRANKLIN</v>
      </c>
      <c r="D4363" s="1" t="str">
        <f t="shared" si="329"/>
        <v>NJ</v>
      </c>
      <c r="E4363" s="2">
        <v>1</v>
      </c>
      <c r="F4363" s="2">
        <v>1</v>
      </c>
      <c r="G4363" s="2">
        <v>1</v>
      </c>
      <c r="H4363" s="2">
        <v>1</v>
      </c>
    </row>
    <row r="4364" spans="1:8" x14ac:dyDescent="0.25">
      <c r="A4364" s="1" t="str">
        <f>"07502"</f>
        <v>07502</v>
      </c>
      <c r="B4364" s="1" t="str">
        <f>"35614"</f>
        <v>35614</v>
      </c>
      <c r="C4364" s="1" t="str">
        <f>"PATERSON"</f>
        <v>PATERSON</v>
      </c>
      <c r="D4364" s="1" t="str">
        <f t="shared" si="329"/>
        <v>NJ</v>
      </c>
      <c r="E4364" s="2">
        <v>1</v>
      </c>
      <c r="F4364" s="2">
        <v>1</v>
      </c>
      <c r="G4364" s="2">
        <v>1</v>
      </c>
      <c r="H4364" s="2">
        <v>1</v>
      </c>
    </row>
    <row r="4365" spans="1:8" x14ac:dyDescent="0.25">
      <c r="A4365" s="1" t="str">
        <f>"07850"</f>
        <v>07850</v>
      </c>
      <c r="B4365" s="1" t="str">
        <f>"35084"</f>
        <v>35084</v>
      </c>
      <c r="C4365" s="1" t="str">
        <f>"LANDING"</f>
        <v>LANDING</v>
      </c>
      <c r="D4365" s="1" t="str">
        <f t="shared" si="329"/>
        <v>NJ</v>
      </c>
      <c r="E4365" s="2">
        <v>1</v>
      </c>
      <c r="F4365" s="2">
        <v>1</v>
      </c>
      <c r="G4365" s="2">
        <v>1</v>
      </c>
      <c r="H4365" s="2">
        <v>1</v>
      </c>
    </row>
    <row r="4366" spans="1:8" x14ac:dyDescent="0.25">
      <c r="A4366" s="1" t="str">
        <f>"07865"</f>
        <v>07865</v>
      </c>
      <c r="B4366" s="1" t="str">
        <f>"35084"</f>
        <v>35084</v>
      </c>
      <c r="C4366" s="1" t="str">
        <f>"PORT MURRAY"</f>
        <v>PORT MURRAY</v>
      </c>
      <c r="D4366" s="1" t="str">
        <f t="shared" si="329"/>
        <v>NJ</v>
      </c>
      <c r="E4366" s="2">
        <v>1</v>
      </c>
      <c r="F4366" s="2">
        <v>1</v>
      </c>
      <c r="G4366" s="2">
        <v>1</v>
      </c>
      <c r="H4366" s="2">
        <v>1</v>
      </c>
    </row>
    <row r="4367" spans="1:8" x14ac:dyDescent="0.25">
      <c r="A4367" s="1" t="str">
        <f>"07928"</f>
        <v>07928</v>
      </c>
      <c r="B4367" s="1" t="str">
        <f>"35084"</f>
        <v>35084</v>
      </c>
      <c r="C4367" s="1" t="str">
        <f>"CHATHAM"</f>
        <v>CHATHAM</v>
      </c>
      <c r="D4367" s="1" t="str">
        <f t="shared" si="329"/>
        <v>NJ</v>
      </c>
      <c r="E4367" s="2">
        <v>1</v>
      </c>
      <c r="F4367" s="2">
        <v>1</v>
      </c>
      <c r="G4367" s="2">
        <v>1</v>
      </c>
      <c r="H4367" s="2">
        <v>1</v>
      </c>
    </row>
    <row r="4368" spans="1:8" x14ac:dyDescent="0.25">
      <c r="A4368" s="1" t="str">
        <f>"07922"</f>
        <v>07922</v>
      </c>
      <c r="B4368" s="1" t="str">
        <f>"35084"</f>
        <v>35084</v>
      </c>
      <c r="C4368" s="1" t="str">
        <f>"BERKELEY HEIGHTS"</f>
        <v>BERKELEY HEIGHTS</v>
      </c>
      <c r="D4368" s="1" t="str">
        <f t="shared" si="329"/>
        <v>NJ</v>
      </c>
      <c r="E4368" s="2">
        <v>0.99704641350210899</v>
      </c>
      <c r="F4368" s="2">
        <v>1</v>
      </c>
      <c r="G4368" s="2">
        <v>1</v>
      </c>
      <c r="H4368" s="2">
        <v>0.99751464583703098</v>
      </c>
    </row>
    <row r="4369" spans="1:8" x14ac:dyDescent="0.25">
      <c r="A4369" s="1" t="str">
        <f>"07922"</f>
        <v>07922</v>
      </c>
      <c r="B4369" s="1" t="str">
        <f>"35154"</f>
        <v>35154</v>
      </c>
      <c r="C4369" s="1" t="str">
        <f>"BERKELEY HEIGHTS"</f>
        <v>BERKELEY HEIGHTS</v>
      </c>
      <c r="D4369" s="1" t="str">
        <f t="shared" si="329"/>
        <v>NJ</v>
      </c>
      <c r="E4369" s="2">
        <v>2.95358649789029E-3</v>
      </c>
      <c r="F4369" s="2">
        <v>0</v>
      </c>
      <c r="G4369" s="2">
        <v>0</v>
      </c>
      <c r="H4369" s="2">
        <v>2.48535416296822E-3</v>
      </c>
    </row>
    <row r="4370" spans="1:8" x14ac:dyDescent="0.25">
      <c r="A4370" s="1" t="str">
        <f>"08527"</f>
        <v>08527</v>
      </c>
      <c r="B4370" s="1" t="str">
        <f>"35154"</f>
        <v>35154</v>
      </c>
      <c r="C4370" s="1" t="str">
        <f>"JACKSON"</f>
        <v>JACKSON</v>
      </c>
      <c r="D4370" s="1" t="str">
        <f t="shared" si="329"/>
        <v>NJ</v>
      </c>
      <c r="E4370" s="2">
        <v>1</v>
      </c>
      <c r="F4370" s="2">
        <v>1</v>
      </c>
      <c r="G4370" s="2">
        <v>1</v>
      </c>
      <c r="H4370" s="2">
        <v>1</v>
      </c>
    </row>
    <row r="4371" spans="1:8" x14ac:dyDescent="0.25">
      <c r="A4371" s="1" t="str">
        <f>"08562"</f>
        <v>08562</v>
      </c>
      <c r="B4371" s="1" t="str">
        <f>"15804"</f>
        <v>15804</v>
      </c>
      <c r="C4371" s="1" t="str">
        <f>"WRIGHTSTOWN"</f>
        <v>WRIGHTSTOWN</v>
      </c>
      <c r="D4371" s="1" t="str">
        <f t="shared" si="329"/>
        <v>NJ</v>
      </c>
      <c r="E4371" s="2">
        <v>0.99773242630385395</v>
      </c>
      <c r="F4371" s="2">
        <v>1</v>
      </c>
      <c r="G4371" s="2">
        <v>1</v>
      </c>
      <c r="H4371" s="2">
        <v>0.99793920659453805</v>
      </c>
    </row>
    <row r="4372" spans="1:8" x14ac:dyDescent="0.25">
      <c r="A4372" s="1" t="str">
        <f>"08562"</f>
        <v>08562</v>
      </c>
      <c r="B4372" s="1" t="str">
        <f>"35154"</f>
        <v>35154</v>
      </c>
      <c r="C4372" s="1" t="str">
        <f>"WRIGHTSTOWN"</f>
        <v>WRIGHTSTOWN</v>
      </c>
      <c r="D4372" s="1" t="str">
        <f t="shared" si="329"/>
        <v>NJ</v>
      </c>
      <c r="E4372" s="2">
        <v>2.26757369614512E-3</v>
      </c>
      <c r="F4372" s="2">
        <v>0</v>
      </c>
      <c r="G4372" s="2">
        <v>0</v>
      </c>
      <c r="H4372" s="2">
        <v>2.0607934054611E-3</v>
      </c>
    </row>
    <row r="4373" spans="1:8" x14ac:dyDescent="0.25">
      <c r="A4373" s="1" t="str">
        <f>"08721"</f>
        <v>08721</v>
      </c>
      <c r="B4373" s="1" t="str">
        <f>"35154"</f>
        <v>35154</v>
      </c>
      <c r="C4373" s="1" t="str">
        <f>"BAYVILLE"</f>
        <v>BAYVILLE</v>
      </c>
      <c r="D4373" s="1" t="str">
        <f t="shared" si="329"/>
        <v>NJ</v>
      </c>
      <c r="E4373" s="2">
        <v>1</v>
      </c>
      <c r="F4373" s="2">
        <v>1</v>
      </c>
      <c r="G4373" s="2">
        <v>1</v>
      </c>
      <c r="H4373" s="2">
        <v>1</v>
      </c>
    </row>
    <row r="4374" spans="1:8" x14ac:dyDescent="0.25">
      <c r="A4374" s="1" t="str">
        <f>"08752"</f>
        <v>08752</v>
      </c>
      <c r="B4374" s="1" t="str">
        <f>"35154"</f>
        <v>35154</v>
      </c>
      <c r="C4374" s="1" t="str">
        <f>"SEASIDE PARK"</f>
        <v>SEASIDE PARK</v>
      </c>
      <c r="D4374" s="1" t="str">
        <f t="shared" si="329"/>
        <v>NJ</v>
      </c>
      <c r="E4374" s="2">
        <v>1</v>
      </c>
      <c r="F4374" s="2">
        <v>1</v>
      </c>
      <c r="G4374" s="2">
        <v>1</v>
      </c>
      <c r="H4374" s="2">
        <v>1</v>
      </c>
    </row>
    <row r="4375" spans="1:8" x14ac:dyDescent="0.25">
      <c r="A4375" s="1" t="str">
        <f>"08816"</f>
        <v>08816</v>
      </c>
      <c r="B4375" s="1" t="str">
        <f>"35154"</f>
        <v>35154</v>
      </c>
      <c r="C4375" s="1" t="str">
        <f>"EAST BRUNSWICK"</f>
        <v>EAST BRUNSWICK</v>
      </c>
      <c r="D4375" s="1" t="str">
        <f t="shared" si="329"/>
        <v>NJ</v>
      </c>
      <c r="E4375" s="2">
        <v>1</v>
      </c>
      <c r="F4375" s="2">
        <v>1</v>
      </c>
      <c r="G4375" s="2">
        <v>1</v>
      </c>
      <c r="H4375" s="2">
        <v>1</v>
      </c>
    </row>
    <row r="4376" spans="1:8" x14ac:dyDescent="0.25">
      <c r="A4376" s="1" t="str">
        <f>"08854"</f>
        <v>08854</v>
      </c>
      <c r="B4376" s="1" t="str">
        <f>"35084"</f>
        <v>35084</v>
      </c>
      <c r="C4376" s="1" t="str">
        <f>"PISCATAWAY"</f>
        <v>PISCATAWAY</v>
      </c>
      <c r="D4376" s="1" t="str">
        <f t="shared" si="329"/>
        <v>NJ</v>
      </c>
      <c r="E4376" s="2">
        <v>6.6117383785983103E-4</v>
      </c>
      <c r="F4376" s="2">
        <v>0</v>
      </c>
      <c r="G4376" s="2">
        <v>0</v>
      </c>
      <c r="H4376" s="2">
        <v>4.2298431704301402E-4</v>
      </c>
    </row>
    <row r="4377" spans="1:8" x14ac:dyDescent="0.25">
      <c r="A4377" s="1" t="str">
        <f>"08854"</f>
        <v>08854</v>
      </c>
      <c r="B4377" s="1" t="str">
        <f>"35154"</f>
        <v>35154</v>
      </c>
      <c r="C4377" s="1" t="str">
        <f>"PISCATAWAY"</f>
        <v>PISCATAWAY</v>
      </c>
      <c r="D4377" s="1" t="str">
        <f t="shared" si="329"/>
        <v>NJ</v>
      </c>
      <c r="E4377" s="2">
        <v>0.99933882616213998</v>
      </c>
      <c r="F4377" s="2">
        <v>1</v>
      </c>
      <c r="G4377" s="2">
        <v>1</v>
      </c>
      <c r="H4377" s="2">
        <v>0.99957701568295598</v>
      </c>
    </row>
    <row r="4378" spans="1:8" x14ac:dyDescent="0.25">
      <c r="A4378" s="1" t="str">
        <f>"10010"</f>
        <v>10010</v>
      </c>
      <c r="B4378" s="1" t="str">
        <f t="shared" ref="B4378:B4384" si="330">"35614"</f>
        <v>35614</v>
      </c>
      <c r="C4378" s="1" t="str">
        <f>"NEW YORK"</f>
        <v>NEW YORK</v>
      </c>
      <c r="D4378" s="1" t="str">
        <f t="shared" ref="D4378:D4391" si="331">"NY"</f>
        <v>NY</v>
      </c>
      <c r="E4378" s="2">
        <v>1</v>
      </c>
      <c r="F4378" s="2">
        <v>1</v>
      </c>
      <c r="G4378" s="2">
        <v>1</v>
      </c>
      <c r="H4378" s="2">
        <v>1</v>
      </c>
    </row>
    <row r="4379" spans="1:8" x14ac:dyDescent="0.25">
      <c r="A4379" s="1" t="str">
        <f>"10153"</f>
        <v>10153</v>
      </c>
      <c r="B4379" s="1" t="str">
        <f t="shared" si="330"/>
        <v>35614</v>
      </c>
      <c r="C4379" s="1" t="str">
        <f>"NEW YORK"</f>
        <v>NEW YORK</v>
      </c>
      <c r="D4379" s="1" t="str">
        <f t="shared" si="331"/>
        <v>NY</v>
      </c>
      <c r="E4379" s="2">
        <v>0</v>
      </c>
      <c r="F4379" s="2">
        <v>1</v>
      </c>
      <c r="G4379" s="2">
        <v>1</v>
      </c>
      <c r="H4379" s="2">
        <v>1</v>
      </c>
    </row>
    <row r="4380" spans="1:8" x14ac:dyDescent="0.25">
      <c r="A4380" s="1" t="str">
        <f>"10312"</f>
        <v>10312</v>
      </c>
      <c r="B4380" s="1" t="str">
        <f t="shared" si="330"/>
        <v>35614</v>
      </c>
      <c r="C4380" s="1" t="str">
        <f>"STATEN ISLAND"</f>
        <v>STATEN ISLAND</v>
      </c>
      <c r="D4380" s="1" t="str">
        <f t="shared" si="331"/>
        <v>NY</v>
      </c>
      <c r="E4380" s="2">
        <v>1</v>
      </c>
      <c r="F4380" s="2">
        <v>1</v>
      </c>
      <c r="G4380" s="2">
        <v>1</v>
      </c>
      <c r="H4380" s="2">
        <v>1</v>
      </c>
    </row>
    <row r="4381" spans="1:8" x14ac:dyDescent="0.25">
      <c r="A4381" s="1" t="str">
        <f>"11203"</f>
        <v>11203</v>
      </c>
      <c r="B4381" s="1" t="str">
        <f t="shared" si="330"/>
        <v>35614</v>
      </c>
      <c r="C4381" s="1" t="str">
        <f>"BROOKLYN"</f>
        <v>BROOKLYN</v>
      </c>
      <c r="D4381" s="1" t="str">
        <f t="shared" si="331"/>
        <v>NY</v>
      </c>
      <c r="E4381" s="2">
        <v>1</v>
      </c>
      <c r="F4381" s="2">
        <v>1</v>
      </c>
      <c r="G4381" s="2">
        <v>1</v>
      </c>
      <c r="H4381" s="2">
        <v>1</v>
      </c>
    </row>
    <row r="4382" spans="1:8" x14ac:dyDescent="0.25">
      <c r="A4382" s="1" t="str">
        <f>"11226"</f>
        <v>11226</v>
      </c>
      <c r="B4382" s="1" t="str">
        <f t="shared" si="330"/>
        <v>35614</v>
      </c>
      <c r="C4382" s="1" t="str">
        <f>"BROOKLYN"</f>
        <v>BROOKLYN</v>
      </c>
      <c r="D4382" s="1" t="str">
        <f t="shared" si="331"/>
        <v>NY</v>
      </c>
      <c r="E4382" s="2">
        <v>1</v>
      </c>
      <c r="F4382" s="2">
        <v>1</v>
      </c>
      <c r="G4382" s="2">
        <v>1</v>
      </c>
      <c r="H4382" s="2">
        <v>1</v>
      </c>
    </row>
    <row r="4383" spans="1:8" x14ac:dyDescent="0.25">
      <c r="A4383" s="1" t="str">
        <f>"11236"</f>
        <v>11236</v>
      </c>
      <c r="B4383" s="1" t="str">
        <f t="shared" si="330"/>
        <v>35614</v>
      </c>
      <c r="C4383" s="1" t="str">
        <f>"BROOKLYN"</f>
        <v>BROOKLYN</v>
      </c>
      <c r="D4383" s="1" t="str">
        <f t="shared" si="331"/>
        <v>NY</v>
      </c>
      <c r="E4383" s="2">
        <v>1</v>
      </c>
      <c r="F4383" s="2">
        <v>1</v>
      </c>
      <c r="G4383" s="2">
        <v>1</v>
      </c>
      <c r="H4383" s="2">
        <v>1</v>
      </c>
    </row>
    <row r="4384" spans="1:8" x14ac:dyDescent="0.25">
      <c r="A4384" s="1" t="str">
        <f>"11040"</f>
        <v>11040</v>
      </c>
      <c r="B4384" s="1" t="str">
        <f t="shared" si="330"/>
        <v>35614</v>
      </c>
      <c r="C4384" s="1" t="str">
        <f>"NEW HYDE PARK"</f>
        <v>NEW HYDE PARK</v>
      </c>
      <c r="D4384" s="1" t="str">
        <f t="shared" si="331"/>
        <v>NY</v>
      </c>
      <c r="E4384" s="2">
        <v>5.5927943024717201E-2</v>
      </c>
      <c r="F4384" s="2">
        <v>3.9215686274509803E-2</v>
      </c>
      <c r="G4384" s="2">
        <v>4.49438202247191E-2</v>
      </c>
      <c r="H4384" s="2">
        <v>5.42587145628637E-2</v>
      </c>
    </row>
    <row r="4385" spans="1:8" x14ac:dyDescent="0.25">
      <c r="A4385" s="1" t="str">
        <f>"11040"</f>
        <v>11040</v>
      </c>
      <c r="B4385" s="1" t="str">
        <f>"35004"</f>
        <v>35004</v>
      </c>
      <c r="C4385" s="1" t="str">
        <f>"NEW HYDE PARK"</f>
        <v>NEW HYDE PARK</v>
      </c>
      <c r="D4385" s="1" t="str">
        <f t="shared" si="331"/>
        <v>NY</v>
      </c>
      <c r="E4385" s="2">
        <v>0.94407205697528196</v>
      </c>
      <c r="F4385" s="2">
        <v>0.96078431372549</v>
      </c>
      <c r="G4385" s="2">
        <v>0.95505617977528001</v>
      </c>
      <c r="H4385" s="2">
        <v>0.94574128543713598</v>
      </c>
    </row>
    <row r="4386" spans="1:8" x14ac:dyDescent="0.25">
      <c r="A4386" s="1" t="str">
        <f>"11377"</f>
        <v>11377</v>
      </c>
      <c r="B4386" s="1" t="str">
        <f>"35614"</f>
        <v>35614</v>
      </c>
      <c r="C4386" s="1" t="str">
        <f>"WOODSIDE"</f>
        <v>WOODSIDE</v>
      </c>
      <c r="D4386" s="1" t="str">
        <f t="shared" si="331"/>
        <v>NY</v>
      </c>
      <c r="E4386" s="2">
        <v>1</v>
      </c>
      <c r="F4386" s="2">
        <v>1</v>
      </c>
      <c r="G4386" s="2">
        <v>1</v>
      </c>
      <c r="H4386" s="2">
        <v>1</v>
      </c>
    </row>
    <row r="4387" spans="1:8" x14ac:dyDescent="0.25">
      <c r="A4387" s="1" t="str">
        <f>"11554"</f>
        <v>11554</v>
      </c>
      <c r="B4387" s="1" t="str">
        <f>"35004"</f>
        <v>35004</v>
      </c>
      <c r="C4387" s="1" t="str">
        <f>"EAST MEADOW"</f>
        <v>EAST MEADOW</v>
      </c>
      <c r="D4387" s="1" t="str">
        <f t="shared" si="331"/>
        <v>NY</v>
      </c>
      <c r="E4387" s="2">
        <v>1</v>
      </c>
      <c r="F4387" s="2">
        <v>1</v>
      </c>
      <c r="G4387" s="2">
        <v>1</v>
      </c>
      <c r="H4387" s="2">
        <v>1</v>
      </c>
    </row>
    <row r="4388" spans="1:8" x14ac:dyDescent="0.25">
      <c r="A4388" s="1" t="str">
        <f>"11561"</f>
        <v>11561</v>
      </c>
      <c r="B4388" s="1" t="str">
        <f>"35004"</f>
        <v>35004</v>
      </c>
      <c r="C4388" s="1" t="str">
        <f>"LONG BEACH"</f>
        <v>LONG BEACH</v>
      </c>
      <c r="D4388" s="1" t="str">
        <f t="shared" si="331"/>
        <v>NY</v>
      </c>
      <c r="E4388" s="2">
        <v>1</v>
      </c>
      <c r="F4388" s="2">
        <v>1</v>
      </c>
      <c r="G4388" s="2">
        <v>1</v>
      </c>
      <c r="H4388" s="2">
        <v>1</v>
      </c>
    </row>
    <row r="4389" spans="1:8" x14ac:dyDescent="0.25">
      <c r="A4389" s="1" t="str">
        <f>"11718"</f>
        <v>11718</v>
      </c>
      <c r="B4389" s="1" t="str">
        <f>"35004"</f>
        <v>35004</v>
      </c>
      <c r="C4389" s="1" t="str">
        <f>"BRIGHTWATERS"</f>
        <v>BRIGHTWATERS</v>
      </c>
      <c r="D4389" s="1" t="str">
        <f t="shared" si="331"/>
        <v>NY</v>
      </c>
      <c r="E4389" s="2">
        <v>1</v>
      </c>
      <c r="F4389" s="2">
        <v>1</v>
      </c>
      <c r="G4389" s="2">
        <v>1</v>
      </c>
      <c r="H4389" s="2">
        <v>1</v>
      </c>
    </row>
    <row r="4390" spans="1:8" x14ac:dyDescent="0.25">
      <c r="A4390" s="1" t="str">
        <f>"11753"</f>
        <v>11753</v>
      </c>
      <c r="B4390" s="1" t="str">
        <f>"35004"</f>
        <v>35004</v>
      </c>
      <c r="C4390" s="1" t="str">
        <f>"JERICHO"</f>
        <v>JERICHO</v>
      </c>
      <c r="D4390" s="1" t="str">
        <f t="shared" si="331"/>
        <v>NY</v>
      </c>
      <c r="E4390" s="2">
        <v>1</v>
      </c>
      <c r="F4390" s="2">
        <v>1</v>
      </c>
      <c r="G4390" s="2">
        <v>1</v>
      </c>
      <c r="H4390" s="2">
        <v>1</v>
      </c>
    </row>
    <row r="4391" spans="1:8" x14ac:dyDescent="0.25">
      <c r="A4391" s="1" t="str">
        <f>"10805"</f>
        <v>10805</v>
      </c>
      <c r="B4391" s="1" t="str">
        <f>"35614"</f>
        <v>35614</v>
      </c>
      <c r="C4391" s="1" t="str">
        <f>"NEW ROCHELLE"</f>
        <v>NEW ROCHELLE</v>
      </c>
      <c r="D4391" s="1" t="str">
        <f t="shared" si="331"/>
        <v>NY</v>
      </c>
      <c r="E4391" s="2">
        <v>1</v>
      </c>
      <c r="F4391" s="2">
        <v>1</v>
      </c>
      <c r="G4391" s="2">
        <v>1</v>
      </c>
      <c r="H4391" s="2">
        <v>1</v>
      </c>
    </row>
    <row r="4392" spans="1:8" x14ac:dyDescent="0.25">
      <c r="A4392" s="1" t="str">
        <f>"18435"</f>
        <v>18435</v>
      </c>
      <c r="B4392" s="1" t="str">
        <f>"35084"</f>
        <v>35084</v>
      </c>
      <c r="C4392" s="1" t="str">
        <f>"LACKAWAXEN"</f>
        <v>LACKAWAXEN</v>
      </c>
      <c r="D4392" s="1" t="str">
        <f t="shared" ref="D4392:D4400" si="332">"PA"</f>
        <v>PA</v>
      </c>
      <c r="E4392" s="2">
        <v>1</v>
      </c>
      <c r="F4392" s="2">
        <v>1</v>
      </c>
      <c r="G4392" s="2">
        <v>1</v>
      </c>
      <c r="H4392" s="2">
        <v>1</v>
      </c>
    </row>
    <row r="4393" spans="1:8" x14ac:dyDescent="0.25">
      <c r="A4393" s="1" t="str">
        <f>"18947"</f>
        <v>18947</v>
      </c>
      <c r="B4393" s="1" t="str">
        <f>"33874"</f>
        <v>33874</v>
      </c>
      <c r="C4393" s="1" t="str">
        <f>"PIPERSVILLE"</f>
        <v>PIPERSVILLE</v>
      </c>
      <c r="D4393" s="1" t="str">
        <f t="shared" si="332"/>
        <v>PA</v>
      </c>
      <c r="E4393" s="2">
        <v>1</v>
      </c>
      <c r="F4393" s="2">
        <v>1</v>
      </c>
      <c r="G4393" s="2">
        <v>1</v>
      </c>
      <c r="H4393" s="2">
        <v>1</v>
      </c>
    </row>
    <row r="4394" spans="1:8" x14ac:dyDescent="0.25">
      <c r="A4394" s="1" t="str">
        <f>"19001"</f>
        <v>19001</v>
      </c>
      <c r="B4394" s="1" t="str">
        <f>"33874"</f>
        <v>33874</v>
      </c>
      <c r="C4394" s="1" t="str">
        <f>"ABINGTON"</f>
        <v>ABINGTON</v>
      </c>
      <c r="D4394" s="1" t="str">
        <f t="shared" si="332"/>
        <v>PA</v>
      </c>
      <c r="E4394" s="2">
        <v>1</v>
      </c>
      <c r="F4394" s="2">
        <v>1</v>
      </c>
      <c r="G4394" s="2">
        <v>1</v>
      </c>
      <c r="H4394" s="2">
        <v>1</v>
      </c>
    </row>
    <row r="4395" spans="1:8" x14ac:dyDescent="0.25">
      <c r="A4395" s="1" t="str">
        <f>"19035"</f>
        <v>19035</v>
      </c>
      <c r="B4395" s="1" t="str">
        <f>"33874"</f>
        <v>33874</v>
      </c>
      <c r="C4395" s="1" t="str">
        <f>"GLADWYNE"</f>
        <v>GLADWYNE</v>
      </c>
      <c r="D4395" s="1" t="str">
        <f t="shared" si="332"/>
        <v>PA</v>
      </c>
      <c r="E4395" s="2">
        <v>1</v>
      </c>
      <c r="F4395" s="2">
        <v>1</v>
      </c>
      <c r="G4395" s="2">
        <v>1</v>
      </c>
      <c r="H4395" s="2">
        <v>1</v>
      </c>
    </row>
    <row r="4396" spans="1:8" x14ac:dyDescent="0.25">
      <c r="A4396" s="1" t="str">
        <f>"19013"</f>
        <v>19013</v>
      </c>
      <c r="B4396" s="1" t="str">
        <f>"37964"</f>
        <v>37964</v>
      </c>
      <c r="C4396" s="1" t="str">
        <f>"CHESTER"</f>
        <v>CHESTER</v>
      </c>
      <c r="D4396" s="1" t="str">
        <f t="shared" si="332"/>
        <v>PA</v>
      </c>
      <c r="E4396" s="2">
        <v>1</v>
      </c>
      <c r="F4396" s="2">
        <v>1</v>
      </c>
      <c r="G4396" s="2">
        <v>1</v>
      </c>
      <c r="H4396" s="2">
        <v>1</v>
      </c>
    </row>
    <row r="4397" spans="1:8" x14ac:dyDescent="0.25">
      <c r="A4397" s="1" t="str">
        <f>"19018"</f>
        <v>19018</v>
      </c>
      <c r="B4397" s="1" t="str">
        <f>"37964"</f>
        <v>37964</v>
      </c>
      <c r="C4397" s="1" t="str">
        <f>"CLIFTON HEIGHTS"</f>
        <v>CLIFTON HEIGHTS</v>
      </c>
      <c r="D4397" s="1" t="str">
        <f t="shared" si="332"/>
        <v>PA</v>
      </c>
      <c r="E4397" s="2">
        <v>1</v>
      </c>
      <c r="F4397" s="2">
        <v>1</v>
      </c>
      <c r="G4397" s="2">
        <v>1</v>
      </c>
      <c r="H4397" s="2">
        <v>1</v>
      </c>
    </row>
    <row r="4398" spans="1:8" x14ac:dyDescent="0.25">
      <c r="A4398" s="1" t="str">
        <f>"19073"</f>
        <v>19073</v>
      </c>
      <c r="B4398" s="1" t="str">
        <f>"33874"</f>
        <v>33874</v>
      </c>
      <c r="C4398" s="1" t="str">
        <f>"NEWTOWN SQUARE"</f>
        <v>NEWTOWN SQUARE</v>
      </c>
      <c r="D4398" s="1" t="str">
        <f t="shared" si="332"/>
        <v>PA</v>
      </c>
      <c r="E4398" s="2">
        <v>9.1637295738545302E-2</v>
      </c>
      <c r="F4398" s="2">
        <v>1.08481262327416E-2</v>
      </c>
      <c r="G4398" s="2">
        <v>2.06185567010309E-2</v>
      </c>
      <c r="H4398" s="2">
        <v>8.2020997375328003E-2</v>
      </c>
    </row>
    <row r="4399" spans="1:8" x14ac:dyDescent="0.25">
      <c r="A4399" s="1" t="str">
        <f>"19073"</f>
        <v>19073</v>
      </c>
      <c r="B4399" s="1" t="str">
        <f>"37964"</f>
        <v>37964</v>
      </c>
      <c r="C4399" s="1" t="str">
        <f>"NEWTOWN SQUARE"</f>
        <v>NEWTOWN SQUARE</v>
      </c>
      <c r="D4399" s="1" t="str">
        <f t="shared" si="332"/>
        <v>PA</v>
      </c>
      <c r="E4399" s="2">
        <v>0.90836270426145405</v>
      </c>
      <c r="F4399" s="2">
        <v>0.98915187376725799</v>
      </c>
      <c r="G4399" s="2">
        <v>0.97938144329896903</v>
      </c>
      <c r="H4399" s="2">
        <v>0.91797900262467103</v>
      </c>
    </row>
    <row r="4400" spans="1:8" x14ac:dyDescent="0.25">
      <c r="A4400" s="1" t="str">
        <f>"19453"</f>
        <v>19453</v>
      </c>
      <c r="B4400" s="1" t="str">
        <f>"33874"</f>
        <v>33874</v>
      </c>
      <c r="C4400" s="1" t="str">
        <f>"MONT CLARE"</f>
        <v>MONT CLARE</v>
      </c>
      <c r="D4400" s="1" t="str">
        <f t="shared" si="332"/>
        <v>PA</v>
      </c>
      <c r="E4400" s="2">
        <v>1</v>
      </c>
      <c r="F4400" s="2">
        <v>1</v>
      </c>
      <c r="G4400" s="2">
        <v>1</v>
      </c>
      <c r="H4400" s="2">
        <v>1</v>
      </c>
    </row>
    <row r="4401" spans="1:8" x14ac:dyDescent="0.25">
      <c r="A4401" s="1" t="str">
        <f>"20715"</f>
        <v>20715</v>
      </c>
      <c r="B4401" s="1" t="str">
        <f>"47894"</f>
        <v>47894</v>
      </c>
      <c r="C4401" s="1" t="str">
        <f>"BOWIE"</f>
        <v>BOWIE</v>
      </c>
      <c r="D4401" s="1" t="str">
        <f t="shared" ref="D4401:D4407" si="333">"MD"</f>
        <v>MD</v>
      </c>
      <c r="E4401" s="2">
        <v>1</v>
      </c>
      <c r="F4401" s="2">
        <v>1</v>
      </c>
      <c r="G4401" s="2">
        <v>1</v>
      </c>
      <c r="H4401" s="2">
        <v>1</v>
      </c>
    </row>
    <row r="4402" spans="1:8" x14ac:dyDescent="0.25">
      <c r="A4402" s="1" t="str">
        <f>"20744"</f>
        <v>20744</v>
      </c>
      <c r="B4402" s="1" t="str">
        <f>"47894"</f>
        <v>47894</v>
      </c>
      <c r="C4402" s="1" t="str">
        <f>"FORT WASHINGTON"</f>
        <v>FORT WASHINGTON</v>
      </c>
      <c r="D4402" s="1" t="str">
        <f t="shared" si="333"/>
        <v>MD</v>
      </c>
      <c r="E4402" s="2">
        <v>1</v>
      </c>
      <c r="F4402" s="2">
        <v>1</v>
      </c>
      <c r="G4402" s="2">
        <v>1</v>
      </c>
      <c r="H4402" s="2">
        <v>1</v>
      </c>
    </row>
    <row r="4403" spans="1:8" x14ac:dyDescent="0.25">
      <c r="A4403" s="1" t="str">
        <f>"20742"</f>
        <v>20742</v>
      </c>
      <c r="B4403" s="1" t="str">
        <f>"47894"</f>
        <v>47894</v>
      </c>
      <c r="C4403" s="1" t="str">
        <f>"COLLEGE PARK"</f>
        <v>COLLEGE PARK</v>
      </c>
      <c r="D4403" s="1" t="str">
        <f t="shared" si="333"/>
        <v>MD</v>
      </c>
      <c r="E4403" s="2">
        <v>0</v>
      </c>
      <c r="F4403" s="2">
        <v>0</v>
      </c>
      <c r="G4403" s="2">
        <v>1</v>
      </c>
      <c r="H4403" s="2">
        <v>1</v>
      </c>
    </row>
    <row r="4404" spans="1:8" x14ac:dyDescent="0.25">
      <c r="A4404" s="1" t="str">
        <f>"20785"</f>
        <v>20785</v>
      </c>
      <c r="B4404" s="1" t="str">
        <f>"47894"</f>
        <v>47894</v>
      </c>
      <c r="C4404" s="1" t="str">
        <f>"HYATTSVILLE"</f>
        <v>HYATTSVILLE</v>
      </c>
      <c r="D4404" s="1" t="str">
        <f t="shared" si="333"/>
        <v>MD</v>
      </c>
      <c r="E4404" s="2">
        <v>1</v>
      </c>
      <c r="F4404" s="2">
        <v>1</v>
      </c>
      <c r="G4404" s="2">
        <v>1</v>
      </c>
      <c r="H4404" s="2">
        <v>1</v>
      </c>
    </row>
    <row r="4405" spans="1:8" x14ac:dyDescent="0.25">
      <c r="A4405" s="1" t="str">
        <f>"20880"</f>
        <v>20880</v>
      </c>
      <c r="B4405" s="1" t="str">
        <f>"23224"</f>
        <v>23224</v>
      </c>
      <c r="C4405" s="1" t="str">
        <f>"WASHINGTON GROVE"</f>
        <v>WASHINGTON GROVE</v>
      </c>
      <c r="D4405" s="1" t="str">
        <f t="shared" si="333"/>
        <v>MD</v>
      </c>
      <c r="E4405" s="2">
        <v>1</v>
      </c>
      <c r="F4405" s="2">
        <v>1</v>
      </c>
      <c r="G4405" s="2">
        <v>1</v>
      </c>
      <c r="H4405" s="2">
        <v>1</v>
      </c>
    </row>
    <row r="4406" spans="1:8" x14ac:dyDescent="0.25">
      <c r="A4406" s="1" t="str">
        <f>"20898"</f>
        <v>20898</v>
      </c>
      <c r="B4406" s="1" t="str">
        <f>"23224"</f>
        <v>23224</v>
      </c>
      <c r="C4406" s="1" t="str">
        <f>"GAITHERSBURG"</f>
        <v>GAITHERSBURG</v>
      </c>
      <c r="D4406" s="1" t="str">
        <f t="shared" si="333"/>
        <v>MD</v>
      </c>
      <c r="E4406" s="2">
        <v>1</v>
      </c>
      <c r="F4406" s="2">
        <v>1</v>
      </c>
      <c r="G4406" s="2">
        <v>1</v>
      </c>
      <c r="H4406" s="2">
        <v>1</v>
      </c>
    </row>
    <row r="4407" spans="1:8" x14ac:dyDescent="0.25">
      <c r="A4407" s="1" t="str">
        <f>"21903"</f>
        <v>21903</v>
      </c>
      <c r="B4407" s="1" t="str">
        <f>"48864"</f>
        <v>48864</v>
      </c>
      <c r="C4407" s="1" t="str">
        <f>"PERRYVILLE"</f>
        <v>PERRYVILLE</v>
      </c>
      <c r="D4407" s="1" t="str">
        <f t="shared" si="333"/>
        <v>MD</v>
      </c>
      <c r="E4407" s="2">
        <v>1</v>
      </c>
      <c r="F4407" s="2">
        <v>1</v>
      </c>
      <c r="G4407" s="2">
        <v>1</v>
      </c>
      <c r="H4407" s="2">
        <v>1</v>
      </c>
    </row>
    <row r="4408" spans="1:8" x14ac:dyDescent="0.25">
      <c r="A4408" s="1" t="str">
        <f>"22125"</f>
        <v>22125</v>
      </c>
      <c r="B4408" s="1" t="str">
        <f>"47894"</f>
        <v>47894</v>
      </c>
      <c r="C4408" s="1" t="str">
        <f>"OCCOQUAN"</f>
        <v>OCCOQUAN</v>
      </c>
      <c r="D4408" s="1" t="str">
        <f>"VA"</f>
        <v>VA</v>
      </c>
      <c r="E4408" s="2">
        <v>1</v>
      </c>
      <c r="F4408" s="2">
        <v>1</v>
      </c>
      <c r="G4408" s="2">
        <v>1</v>
      </c>
      <c r="H4408" s="2">
        <v>1</v>
      </c>
    </row>
    <row r="4409" spans="1:8" x14ac:dyDescent="0.25">
      <c r="A4409" s="1" t="str">
        <f>"22310"</f>
        <v>22310</v>
      </c>
      <c r="B4409" s="1" t="str">
        <f>"47894"</f>
        <v>47894</v>
      </c>
      <c r="C4409" s="1" t="str">
        <f>"ALEXANDRIA"</f>
        <v>ALEXANDRIA</v>
      </c>
      <c r="D4409" s="1" t="str">
        <f>"VA"</f>
        <v>VA</v>
      </c>
      <c r="E4409" s="2">
        <v>1</v>
      </c>
      <c r="F4409" s="2">
        <v>1</v>
      </c>
      <c r="G4409" s="2">
        <v>1</v>
      </c>
      <c r="H4409" s="2">
        <v>1</v>
      </c>
    </row>
    <row r="4410" spans="1:8" x14ac:dyDescent="0.25">
      <c r="A4410" s="1" t="str">
        <f>"22737"</f>
        <v>22737</v>
      </c>
      <c r="B4410" s="1" t="str">
        <f>"47894"</f>
        <v>47894</v>
      </c>
      <c r="C4410" s="1" t="str">
        <f>"RIXEYVILLE"</f>
        <v>RIXEYVILLE</v>
      </c>
      <c r="D4410" s="1" t="str">
        <f>"VA"</f>
        <v>VA</v>
      </c>
      <c r="E4410" s="2">
        <v>1</v>
      </c>
      <c r="F4410" s="2">
        <v>1</v>
      </c>
      <c r="G4410" s="2">
        <v>1</v>
      </c>
      <c r="H4410" s="2">
        <v>1</v>
      </c>
    </row>
    <row r="4411" spans="1:8" x14ac:dyDescent="0.25">
      <c r="A4411" s="1" t="str">
        <f>"22724"</f>
        <v>22724</v>
      </c>
      <c r="B4411" s="1" t="str">
        <f>"47894"</f>
        <v>47894</v>
      </c>
      <c r="C4411" s="1" t="str">
        <f>"JEFFERSONTON"</f>
        <v>JEFFERSONTON</v>
      </c>
      <c r="D4411" s="1" t="str">
        <f>"VA"</f>
        <v>VA</v>
      </c>
      <c r="E4411" s="2">
        <v>1</v>
      </c>
      <c r="F4411" s="2">
        <v>1</v>
      </c>
      <c r="G4411" s="2">
        <v>1</v>
      </c>
      <c r="H4411" s="2">
        <v>1</v>
      </c>
    </row>
    <row r="4412" spans="1:8" x14ac:dyDescent="0.25">
      <c r="A4412" s="1" t="str">
        <f>"33063"</f>
        <v>33063</v>
      </c>
      <c r="B4412" s="1" t="str">
        <f>"22744"</f>
        <v>22744</v>
      </c>
      <c r="C4412" s="1" t="str">
        <f>"POMPANO BEACH"</f>
        <v>POMPANO BEACH</v>
      </c>
      <c r="D4412" s="1" t="str">
        <f t="shared" ref="D4412:D4417" si="334">"FL"</f>
        <v>FL</v>
      </c>
      <c r="E4412" s="2">
        <v>1</v>
      </c>
      <c r="F4412" s="2">
        <v>1</v>
      </c>
      <c r="G4412" s="2">
        <v>1</v>
      </c>
      <c r="H4412" s="2">
        <v>1</v>
      </c>
    </row>
    <row r="4413" spans="1:8" x14ac:dyDescent="0.25">
      <c r="A4413" s="1" t="str">
        <f>"33014"</f>
        <v>33014</v>
      </c>
      <c r="B4413" s="1" t="str">
        <f>"33124"</f>
        <v>33124</v>
      </c>
      <c r="C4413" s="1" t="str">
        <f>"HIALEAH"</f>
        <v>HIALEAH</v>
      </c>
      <c r="D4413" s="1" t="str">
        <f t="shared" si="334"/>
        <v>FL</v>
      </c>
      <c r="E4413" s="2">
        <v>1</v>
      </c>
      <c r="F4413" s="2">
        <v>1</v>
      </c>
      <c r="G4413" s="2">
        <v>1</v>
      </c>
      <c r="H4413" s="2">
        <v>1</v>
      </c>
    </row>
    <row r="4414" spans="1:8" x14ac:dyDescent="0.25">
      <c r="A4414" s="1" t="str">
        <f>"33132"</f>
        <v>33132</v>
      </c>
      <c r="B4414" s="1" t="str">
        <f>"33124"</f>
        <v>33124</v>
      </c>
      <c r="C4414" s="1" t="str">
        <f>"MIAMI"</f>
        <v>MIAMI</v>
      </c>
      <c r="D4414" s="1" t="str">
        <f t="shared" si="334"/>
        <v>FL</v>
      </c>
      <c r="E4414" s="2">
        <v>1</v>
      </c>
      <c r="F4414" s="2">
        <v>1</v>
      </c>
      <c r="G4414" s="2">
        <v>1</v>
      </c>
      <c r="H4414" s="2">
        <v>1</v>
      </c>
    </row>
    <row r="4415" spans="1:8" x14ac:dyDescent="0.25">
      <c r="A4415" s="1" t="str">
        <f>"33068"</f>
        <v>33068</v>
      </c>
      <c r="B4415" s="1" t="str">
        <f>"22744"</f>
        <v>22744</v>
      </c>
      <c r="C4415" s="1" t="str">
        <f>"POMPANO BEACH"</f>
        <v>POMPANO BEACH</v>
      </c>
      <c r="D4415" s="1" t="str">
        <f t="shared" si="334"/>
        <v>FL</v>
      </c>
      <c r="E4415" s="2">
        <v>1</v>
      </c>
      <c r="F4415" s="2">
        <v>1</v>
      </c>
      <c r="G4415" s="2">
        <v>1</v>
      </c>
      <c r="H4415" s="2">
        <v>1</v>
      </c>
    </row>
    <row r="4416" spans="1:8" x14ac:dyDescent="0.25">
      <c r="A4416" s="1" t="str">
        <f>"33114"</f>
        <v>33114</v>
      </c>
      <c r="B4416" s="1" t="str">
        <f>"33124"</f>
        <v>33124</v>
      </c>
      <c r="C4416" s="1" t="str">
        <f>"CORAL GABLES"</f>
        <v>CORAL GABLES</v>
      </c>
      <c r="D4416" s="1" t="str">
        <f t="shared" si="334"/>
        <v>FL</v>
      </c>
      <c r="E4416" s="2">
        <v>1</v>
      </c>
      <c r="F4416" s="2">
        <v>1</v>
      </c>
      <c r="G4416" s="2">
        <v>1</v>
      </c>
      <c r="H4416" s="2">
        <v>1</v>
      </c>
    </row>
    <row r="4417" spans="1:8" x14ac:dyDescent="0.25">
      <c r="A4417" s="1" t="str">
        <f>"33315"</f>
        <v>33315</v>
      </c>
      <c r="B4417" s="1" t="str">
        <f>"22744"</f>
        <v>22744</v>
      </c>
      <c r="C4417" s="1" t="str">
        <f>"FORT LAUDERDALE"</f>
        <v>FORT LAUDERDALE</v>
      </c>
      <c r="D4417" s="1" t="str">
        <f t="shared" si="334"/>
        <v>FL</v>
      </c>
      <c r="E4417" s="2">
        <v>1</v>
      </c>
      <c r="F4417" s="2">
        <v>1</v>
      </c>
      <c r="G4417" s="2">
        <v>1</v>
      </c>
      <c r="H4417" s="2">
        <v>1</v>
      </c>
    </row>
    <row r="4418" spans="1:8" x14ac:dyDescent="0.25">
      <c r="A4418" s="1" t="str">
        <f>"48195"</f>
        <v>48195</v>
      </c>
      <c r="B4418" s="1" t="str">
        <f>"19804"</f>
        <v>19804</v>
      </c>
      <c r="C4418" s="1" t="str">
        <f>"SOUTHGATE"</f>
        <v>SOUTHGATE</v>
      </c>
      <c r="D4418" s="1" t="str">
        <f>"MI"</f>
        <v>MI</v>
      </c>
      <c r="E4418" s="2">
        <v>1</v>
      </c>
      <c r="F4418" s="2">
        <v>1</v>
      </c>
      <c r="G4418" s="2">
        <v>1</v>
      </c>
      <c r="H4418" s="2">
        <v>1</v>
      </c>
    </row>
    <row r="4419" spans="1:8" x14ac:dyDescent="0.25">
      <c r="A4419" s="1" t="str">
        <f>"48126"</f>
        <v>48126</v>
      </c>
      <c r="B4419" s="1" t="str">
        <f>"19804"</f>
        <v>19804</v>
      </c>
      <c r="C4419" s="1" t="str">
        <f>"DEARBORN"</f>
        <v>DEARBORN</v>
      </c>
      <c r="D4419" s="1" t="str">
        <f>"MI"</f>
        <v>MI</v>
      </c>
      <c r="E4419" s="2">
        <v>1</v>
      </c>
      <c r="F4419" s="2">
        <v>1</v>
      </c>
      <c r="G4419" s="2">
        <v>1</v>
      </c>
      <c r="H4419" s="2">
        <v>1</v>
      </c>
    </row>
    <row r="4420" spans="1:8" x14ac:dyDescent="0.25">
      <c r="A4420" s="1" t="str">
        <f>"48098"</f>
        <v>48098</v>
      </c>
      <c r="B4420" s="1" t="str">
        <f>"47664"</f>
        <v>47664</v>
      </c>
      <c r="C4420" s="1" t="str">
        <f>"TROY"</f>
        <v>TROY</v>
      </c>
      <c r="D4420" s="1" t="str">
        <f>"MI"</f>
        <v>MI</v>
      </c>
      <c r="E4420" s="2">
        <v>1</v>
      </c>
      <c r="F4420" s="2">
        <v>1</v>
      </c>
      <c r="G4420" s="2">
        <v>1</v>
      </c>
      <c r="H4420" s="2">
        <v>1</v>
      </c>
    </row>
    <row r="4421" spans="1:8" x14ac:dyDescent="0.25">
      <c r="A4421" s="1" t="str">
        <f>"48216"</f>
        <v>48216</v>
      </c>
      <c r="B4421" s="1" t="str">
        <f>"19804"</f>
        <v>19804</v>
      </c>
      <c r="C4421" s="1" t="str">
        <f>"DETROIT"</f>
        <v>DETROIT</v>
      </c>
      <c r="D4421" s="1" t="str">
        <f>"MI"</f>
        <v>MI</v>
      </c>
      <c r="E4421" s="2">
        <v>1</v>
      </c>
      <c r="F4421" s="2">
        <v>1</v>
      </c>
      <c r="G4421" s="2">
        <v>1</v>
      </c>
      <c r="H4421" s="2">
        <v>1</v>
      </c>
    </row>
    <row r="4422" spans="1:8" x14ac:dyDescent="0.25">
      <c r="A4422" s="1" t="str">
        <f>"48224"</f>
        <v>48224</v>
      </c>
      <c r="B4422" s="1" t="str">
        <f>"19804"</f>
        <v>19804</v>
      </c>
      <c r="C4422" s="1" t="str">
        <f>"DETROIT"</f>
        <v>DETROIT</v>
      </c>
      <c r="D4422" s="1" t="str">
        <f>"MI"</f>
        <v>MI</v>
      </c>
      <c r="E4422" s="2">
        <v>1</v>
      </c>
      <c r="F4422" s="2">
        <v>1</v>
      </c>
      <c r="G4422" s="2">
        <v>1</v>
      </c>
      <c r="H4422" s="2">
        <v>1</v>
      </c>
    </row>
    <row r="4423" spans="1:8" x14ac:dyDescent="0.25">
      <c r="A4423" s="1" t="str">
        <f>"53182"</f>
        <v>53182</v>
      </c>
      <c r="B4423" s="1" t="str">
        <f>"29404"</f>
        <v>29404</v>
      </c>
      <c r="C4423" s="1" t="str">
        <f>"UNION GROVE"</f>
        <v>UNION GROVE</v>
      </c>
      <c r="D4423" s="1" t="str">
        <f>"WI"</f>
        <v>WI</v>
      </c>
      <c r="E4423" s="2">
        <v>1</v>
      </c>
      <c r="F4423" s="2">
        <v>1</v>
      </c>
      <c r="G4423" s="2">
        <v>1</v>
      </c>
      <c r="H4423" s="2">
        <v>1</v>
      </c>
    </row>
    <row r="4424" spans="1:8" x14ac:dyDescent="0.25">
      <c r="A4424" s="1" t="str">
        <f>"60450"</f>
        <v>60450</v>
      </c>
      <c r="B4424" s="1" t="str">
        <f>"16984"</f>
        <v>16984</v>
      </c>
      <c r="C4424" s="1" t="str">
        <f>"MORRIS"</f>
        <v>MORRIS</v>
      </c>
      <c r="D4424" s="1" t="str">
        <f t="shared" ref="D4424:D4446" si="335">"IL"</f>
        <v>IL</v>
      </c>
      <c r="E4424" s="2">
        <v>0.99725637638451303</v>
      </c>
      <c r="F4424" s="2">
        <v>0.99914529914529904</v>
      </c>
      <c r="G4424" s="2">
        <v>1</v>
      </c>
      <c r="H4424" s="2">
        <v>0.99760294495334301</v>
      </c>
    </row>
    <row r="4425" spans="1:8" x14ac:dyDescent="0.25">
      <c r="A4425" s="1" t="str">
        <f>"60450"</f>
        <v>60450</v>
      </c>
      <c r="B4425" s="1" t="str">
        <f>"20994"</f>
        <v>20994</v>
      </c>
      <c r="C4425" s="1" t="str">
        <f>"MORRIS"</f>
        <v>MORRIS</v>
      </c>
      <c r="D4425" s="1" t="str">
        <f t="shared" si="335"/>
        <v>IL</v>
      </c>
      <c r="E4425" s="2">
        <v>2.7436236154862298E-3</v>
      </c>
      <c r="F4425" s="2">
        <v>8.5470085470085405E-4</v>
      </c>
      <c r="G4425" s="2">
        <v>0</v>
      </c>
      <c r="H4425" s="2">
        <v>2.3970550466569599E-3</v>
      </c>
    </row>
    <row r="4426" spans="1:8" x14ac:dyDescent="0.25">
      <c r="A4426" s="1" t="str">
        <f>"60431"</f>
        <v>60431</v>
      </c>
      <c r="B4426" s="1" t="str">
        <f>"20994"</f>
        <v>20994</v>
      </c>
      <c r="C4426" s="1" t="str">
        <f>"JOLIET"</f>
        <v>JOLIET</v>
      </c>
      <c r="D4426" s="1" t="str">
        <f t="shared" si="335"/>
        <v>IL</v>
      </c>
      <c r="E4426" s="2">
        <v>0.277331569498251</v>
      </c>
      <c r="F4426" s="2">
        <v>4.4905008635578503E-2</v>
      </c>
      <c r="G4426" s="2">
        <v>2.09790209790209E-2</v>
      </c>
      <c r="H4426" s="2">
        <v>0.26218487394957901</v>
      </c>
    </row>
    <row r="4427" spans="1:8" x14ac:dyDescent="0.25">
      <c r="A4427" s="1" t="str">
        <f>"60431"</f>
        <v>60431</v>
      </c>
      <c r="B4427" s="1" t="str">
        <f>"16984"</f>
        <v>16984</v>
      </c>
      <c r="C4427" s="1" t="str">
        <f>"JOLIET"</f>
        <v>JOLIET</v>
      </c>
      <c r="D4427" s="1" t="str">
        <f t="shared" si="335"/>
        <v>IL</v>
      </c>
      <c r="E4427" s="2">
        <v>0.722668430501748</v>
      </c>
      <c r="F4427" s="2">
        <v>0.955094991364421</v>
      </c>
      <c r="G4427" s="2">
        <v>0.97902097902097895</v>
      </c>
      <c r="H4427" s="2">
        <v>0.73781512605041999</v>
      </c>
    </row>
    <row r="4428" spans="1:8" x14ac:dyDescent="0.25">
      <c r="A4428" s="1" t="str">
        <f>"60473"</f>
        <v>60473</v>
      </c>
      <c r="B4428" s="1" t="str">
        <f>"16984"</f>
        <v>16984</v>
      </c>
      <c r="C4428" s="1" t="str">
        <f>"SOUTH HOLLAND"</f>
        <v>SOUTH HOLLAND</v>
      </c>
      <c r="D4428" s="1" t="str">
        <f t="shared" si="335"/>
        <v>IL</v>
      </c>
      <c r="E4428" s="2">
        <v>1</v>
      </c>
      <c r="F4428" s="2">
        <v>1</v>
      </c>
      <c r="G4428" s="2">
        <v>1</v>
      </c>
      <c r="H4428" s="2">
        <v>1</v>
      </c>
    </row>
    <row r="4429" spans="1:8" x14ac:dyDescent="0.25">
      <c r="A4429" s="1" t="str">
        <f>"60471"</f>
        <v>60471</v>
      </c>
      <c r="B4429" s="1" t="str">
        <f>"16984"</f>
        <v>16984</v>
      </c>
      <c r="C4429" s="1" t="str">
        <f>"RICHTON PARK"</f>
        <v>RICHTON PARK</v>
      </c>
      <c r="D4429" s="1" t="str">
        <f t="shared" si="335"/>
        <v>IL</v>
      </c>
      <c r="E4429" s="2">
        <v>1</v>
      </c>
      <c r="F4429" s="2">
        <v>1</v>
      </c>
      <c r="G4429" s="2">
        <v>1</v>
      </c>
      <c r="H4429" s="2">
        <v>1</v>
      </c>
    </row>
    <row r="4430" spans="1:8" x14ac:dyDescent="0.25">
      <c r="A4430" s="1" t="str">
        <f>"60507"</f>
        <v>60507</v>
      </c>
      <c r="B4430" s="1" t="str">
        <f>"20994"</f>
        <v>20994</v>
      </c>
      <c r="C4430" s="1" t="str">
        <f>"AURORA"</f>
        <v>AURORA</v>
      </c>
      <c r="D4430" s="1" t="str">
        <f t="shared" si="335"/>
        <v>IL</v>
      </c>
      <c r="E4430" s="2">
        <v>1</v>
      </c>
      <c r="F4430" s="2">
        <v>1</v>
      </c>
      <c r="G4430" s="2">
        <v>1</v>
      </c>
      <c r="H4430" s="2">
        <v>1</v>
      </c>
    </row>
    <row r="4431" spans="1:8" x14ac:dyDescent="0.25">
      <c r="A4431" s="1" t="str">
        <f>"60527"</f>
        <v>60527</v>
      </c>
      <c r="B4431" s="1" t="str">
        <f>"16984"</f>
        <v>16984</v>
      </c>
      <c r="C4431" s="1" t="str">
        <f>"WILLOWBROOK"</f>
        <v>WILLOWBROOK</v>
      </c>
      <c r="D4431" s="1" t="str">
        <f t="shared" si="335"/>
        <v>IL</v>
      </c>
      <c r="E4431" s="2">
        <v>1</v>
      </c>
      <c r="F4431" s="2">
        <v>1</v>
      </c>
      <c r="G4431" s="2">
        <v>1</v>
      </c>
      <c r="H4431" s="2">
        <v>1</v>
      </c>
    </row>
    <row r="4432" spans="1:8" x14ac:dyDescent="0.25">
      <c r="A4432" s="1" t="str">
        <f>"60062"</f>
        <v>60062</v>
      </c>
      <c r="B4432" s="1" t="str">
        <f>"16984"</f>
        <v>16984</v>
      </c>
      <c r="C4432" s="1" t="str">
        <f>"NORTHBROOK"</f>
        <v>NORTHBROOK</v>
      </c>
      <c r="D4432" s="1" t="str">
        <f t="shared" si="335"/>
        <v>IL</v>
      </c>
      <c r="E4432" s="2">
        <v>1</v>
      </c>
      <c r="F4432" s="2">
        <v>1</v>
      </c>
      <c r="G4432" s="2">
        <v>1</v>
      </c>
      <c r="H4432" s="2">
        <v>1</v>
      </c>
    </row>
    <row r="4433" spans="1:8" x14ac:dyDescent="0.25">
      <c r="A4433" s="1" t="str">
        <f>"60130"</f>
        <v>60130</v>
      </c>
      <c r="B4433" s="1" t="str">
        <f>"16984"</f>
        <v>16984</v>
      </c>
      <c r="C4433" s="1" t="str">
        <f>"FOREST PARK"</f>
        <v>FOREST PARK</v>
      </c>
      <c r="D4433" s="1" t="str">
        <f t="shared" si="335"/>
        <v>IL</v>
      </c>
      <c r="E4433" s="2">
        <v>1</v>
      </c>
      <c r="F4433" s="2">
        <v>1</v>
      </c>
      <c r="G4433" s="2">
        <v>1</v>
      </c>
      <c r="H4433" s="2">
        <v>1</v>
      </c>
    </row>
    <row r="4434" spans="1:8" x14ac:dyDescent="0.25">
      <c r="A4434" s="1" t="str">
        <f>"60010"</f>
        <v>60010</v>
      </c>
      <c r="B4434" s="1" t="str">
        <f>"16984"</f>
        <v>16984</v>
      </c>
      <c r="C4434" s="1" t="str">
        <f>"BARRINGTON"</f>
        <v>BARRINGTON</v>
      </c>
      <c r="D4434" s="1" t="str">
        <f t="shared" si="335"/>
        <v>IL</v>
      </c>
      <c r="E4434" s="2">
        <v>0.46270339938778698</v>
      </c>
      <c r="F4434" s="2">
        <v>0.372484791764155</v>
      </c>
      <c r="G4434" s="2">
        <v>0.28666666666666601</v>
      </c>
      <c r="H4434" s="2">
        <v>0.44760089269109099</v>
      </c>
    </row>
    <row r="4435" spans="1:8" x14ac:dyDescent="0.25">
      <c r="A4435" s="1" t="str">
        <f>"60010"</f>
        <v>60010</v>
      </c>
      <c r="B4435" s="1" t="str">
        <f>"29404"</f>
        <v>29404</v>
      </c>
      <c r="C4435" s="1" t="str">
        <f>"BARRINGTON"</f>
        <v>BARRINGTON</v>
      </c>
      <c r="D4435" s="1" t="str">
        <f t="shared" si="335"/>
        <v>IL</v>
      </c>
      <c r="E4435" s="2">
        <v>0.53466516298802402</v>
      </c>
      <c r="F4435" s="2">
        <v>0.62657931679925105</v>
      </c>
      <c r="G4435" s="2">
        <v>0.71333333333333304</v>
      </c>
      <c r="H4435" s="2">
        <v>0.550027896596615</v>
      </c>
    </row>
    <row r="4436" spans="1:8" x14ac:dyDescent="0.25">
      <c r="A4436" s="1" t="str">
        <f>"60010"</f>
        <v>60010</v>
      </c>
      <c r="B4436" s="1" t="str">
        <f>"20994"</f>
        <v>20994</v>
      </c>
      <c r="C4436" s="1" t="str">
        <f>"BARRINGTON"</f>
        <v>BARRINGTON</v>
      </c>
      <c r="D4436" s="1" t="str">
        <f t="shared" si="335"/>
        <v>IL</v>
      </c>
      <c r="E4436" s="2">
        <v>2.63143762418774E-3</v>
      </c>
      <c r="F4436" s="2">
        <v>9.35891436593355E-4</v>
      </c>
      <c r="G4436" s="2">
        <v>0</v>
      </c>
      <c r="H4436" s="2">
        <v>2.3712107122930998E-3</v>
      </c>
    </row>
    <row r="4437" spans="1:8" x14ac:dyDescent="0.25">
      <c r="A4437" s="1" t="str">
        <f>"60007"</f>
        <v>60007</v>
      </c>
      <c r="B4437" s="1" t="str">
        <f>"16984"</f>
        <v>16984</v>
      </c>
      <c r="C4437" s="1" t="str">
        <f>"ELK GROVE VILLAGE"</f>
        <v>ELK GROVE VILLAGE</v>
      </c>
      <c r="D4437" s="1" t="str">
        <f t="shared" si="335"/>
        <v>IL</v>
      </c>
      <c r="E4437" s="2">
        <v>1</v>
      </c>
      <c r="F4437" s="2">
        <v>1</v>
      </c>
      <c r="G4437" s="2">
        <v>1</v>
      </c>
      <c r="H4437" s="2">
        <v>1</v>
      </c>
    </row>
    <row r="4438" spans="1:8" x14ac:dyDescent="0.25">
      <c r="A4438" s="1" t="str">
        <f>"60099"</f>
        <v>60099</v>
      </c>
      <c r="B4438" s="1" t="str">
        <f>"29404"</f>
        <v>29404</v>
      </c>
      <c r="C4438" s="1" t="str">
        <f>"ZION"</f>
        <v>ZION</v>
      </c>
      <c r="D4438" s="1" t="str">
        <f t="shared" si="335"/>
        <v>IL</v>
      </c>
      <c r="E4438" s="2">
        <v>1</v>
      </c>
      <c r="F4438" s="2">
        <v>1</v>
      </c>
      <c r="G4438" s="2">
        <v>1</v>
      </c>
      <c r="H4438" s="2">
        <v>1</v>
      </c>
    </row>
    <row r="4439" spans="1:8" x14ac:dyDescent="0.25">
      <c r="A4439" s="1" t="str">
        <f>"60169"</f>
        <v>60169</v>
      </c>
      <c r="B4439" s="1" t="str">
        <f>"16984"</f>
        <v>16984</v>
      </c>
      <c r="C4439" s="1" t="str">
        <f>"HOFFMAN ESTATES"</f>
        <v>HOFFMAN ESTATES</v>
      </c>
      <c r="D4439" s="1" t="str">
        <f t="shared" si="335"/>
        <v>IL</v>
      </c>
      <c r="E4439" s="2">
        <v>1</v>
      </c>
      <c r="F4439" s="2">
        <v>1</v>
      </c>
      <c r="G4439" s="2">
        <v>1</v>
      </c>
      <c r="H4439" s="2">
        <v>1</v>
      </c>
    </row>
    <row r="4440" spans="1:8" x14ac:dyDescent="0.25">
      <c r="A4440" s="1" t="str">
        <f>"60173"</f>
        <v>60173</v>
      </c>
      <c r="B4440" s="1" t="str">
        <f>"16984"</f>
        <v>16984</v>
      </c>
      <c r="C4440" s="1" t="str">
        <f>"SCHAUMBURG"</f>
        <v>SCHAUMBURG</v>
      </c>
      <c r="D4440" s="1" t="str">
        <f t="shared" si="335"/>
        <v>IL</v>
      </c>
      <c r="E4440" s="2">
        <v>1</v>
      </c>
      <c r="F4440" s="2">
        <v>1</v>
      </c>
      <c r="G4440" s="2">
        <v>1</v>
      </c>
      <c r="H4440" s="2">
        <v>1</v>
      </c>
    </row>
    <row r="4441" spans="1:8" x14ac:dyDescent="0.25">
      <c r="A4441" s="1" t="str">
        <f>"60194"</f>
        <v>60194</v>
      </c>
      <c r="B4441" s="1" t="str">
        <f>"16984"</f>
        <v>16984</v>
      </c>
      <c r="C4441" s="1" t="str">
        <f>"SCHAUMBURG"</f>
        <v>SCHAUMBURG</v>
      </c>
      <c r="D4441" s="1" t="str">
        <f t="shared" si="335"/>
        <v>IL</v>
      </c>
      <c r="E4441" s="2">
        <v>1</v>
      </c>
      <c r="F4441" s="2">
        <v>1</v>
      </c>
      <c r="G4441" s="2">
        <v>1</v>
      </c>
      <c r="H4441" s="2">
        <v>1</v>
      </c>
    </row>
    <row r="4442" spans="1:8" x14ac:dyDescent="0.25">
      <c r="A4442" s="1" t="str">
        <f>"60192"</f>
        <v>60192</v>
      </c>
      <c r="B4442" s="1" t="str">
        <f>"16984"</f>
        <v>16984</v>
      </c>
      <c r="C4442" s="1" t="str">
        <f>"HOFFMAN ESTATES"</f>
        <v>HOFFMAN ESTATES</v>
      </c>
      <c r="D4442" s="1" t="str">
        <f t="shared" si="335"/>
        <v>IL</v>
      </c>
      <c r="E4442" s="2">
        <v>1</v>
      </c>
      <c r="F4442" s="2">
        <v>0.99694189602446404</v>
      </c>
      <c r="G4442" s="2">
        <v>1</v>
      </c>
      <c r="H4442" s="2">
        <v>0.99983803045027497</v>
      </c>
    </row>
    <row r="4443" spans="1:8" x14ac:dyDescent="0.25">
      <c r="A4443" s="1" t="str">
        <f>"60192"</f>
        <v>60192</v>
      </c>
      <c r="B4443" s="1" t="str">
        <f>"20994"</f>
        <v>20994</v>
      </c>
      <c r="C4443" s="1" t="str">
        <f>"HOFFMAN ESTATES"</f>
        <v>HOFFMAN ESTATES</v>
      </c>
      <c r="D4443" s="1" t="str">
        <f t="shared" si="335"/>
        <v>IL</v>
      </c>
      <c r="E4443" s="2">
        <v>0</v>
      </c>
      <c r="F4443" s="2">
        <v>3.05810397553516E-3</v>
      </c>
      <c r="G4443" s="2">
        <v>0</v>
      </c>
      <c r="H4443" s="2">
        <v>1.6196954972465101E-4</v>
      </c>
    </row>
    <row r="4444" spans="1:8" x14ac:dyDescent="0.25">
      <c r="A4444" s="1" t="str">
        <f>"60652"</f>
        <v>60652</v>
      </c>
      <c r="B4444" s="1" t="str">
        <f>"16984"</f>
        <v>16984</v>
      </c>
      <c r="C4444" s="1" t="str">
        <f>"CHICAGO"</f>
        <v>CHICAGO</v>
      </c>
      <c r="D4444" s="1" t="str">
        <f t="shared" si="335"/>
        <v>IL</v>
      </c>
      <c r="E4444" s="2">
        <v>1</v>
      </c>
      <c r="F4444" s="2">
        <v>1</v>
      </c>
      <c r="G4444" s="2">
        <v>1</v>
      </c>
      <c r="H4444" s="2">
        <v>1</v>
      </c>
    </row>
    <row r="4445" spans="1:8" x14ac:dyDescent="0.25">
      <c r="A4445" s="1" t="str">
        <f>"60674"</f>
        <v>60674</v>
      </c>
      <c r="B4445" s="1" t="str">
        <f>"16984"</f>
        <v>16984</v>
      </c>
      <c r="C4445" s="1" t="str">
        <f>"CHICAGO"</f>
        <v>CHICAGO</v>
      </c>
      <c r="D4445" s="1" t="str">
        <f t="shared" si="335"/>
        <v>IL</v>
      </c>
      <c r="E4445" s="2">
        <v>0</v>
      </c>
      <c r="F4445" s="2">
        <v>0</v>
      </c>
      <c r="G4445" s="2">
        <v>1</v>
      </c>
      <c r="H4445" s="2">
        <v>1</v>
      </c>
    </row>
    <row r="4446" spans="1:8" x14ac:dyDescent="0.25">
      <c r="A4446" s="1" t="str">
        <f>"60616"</f>
        <v>60616</v>
      </c>
      <c r="B4446" s="1" t="str">
        <f>"16984"</f>
        <v>16984</v>
      </c>
      <c r="C4446" s="1" t="str">
        <f>"CHICAGO"</f>
        <v>CHICAGO</v>
      </c>
      <c r="D4446" s="1" t="str">
        <f t="shared" si="335"/>
        <v>IL</v>
      </c>
      <c r="E4446" s="2">
        <v>1</v>
      </c>
      <c r="F4446" s="2">
        <v>1</v>
      </c>
      <c r="G4446" s="2">
        <v>1</v>
      </c>
      <c r="H4446" s="2">
        <v>1</v>
      </c>
    </row>
    <row r="4447" spans="1:8" x14ac:dyDescent="0.25">
      <c r="A4447" s="1" t="str">
        <f>"75067"</f>
        <v>75067</v>
      </c>
      <c r="B4447" s="1" t="str">
        <f t="shared" ref="B4447:B4452" si="336">"19124"</f>
        <v>19124</v>
      </c>
      <c r="C4447" s="1" t="str">
        <f>"LEWISVILLE"</f>
        <v>LEWISVILLE</v>
      </c>
      <c r="D4447" s="1" t="str">
        <f t="shared" ref="D4447:D4458" si="337">"TX"</f>
        <v>TX</v>
      </c>
      <c r="E4447" s="2">
        <v>1</v>
      </c>
      <c r="F4447" s="2">
        <v>1</v>
      </c>
      <c r="G4447" s="2">
        <v>1</v>
      </c>
      <c r="H4447" s="2">
        <v>1</v>
      </c>
    </row>
    <row r="4448" spans="1:8" x14ac:dyDescent="0.25">
      <c r="A4448" s="1" t="str">
        <f>"75235"</f>
        <v>75235</v>
      </c>
      <c r="B4448" s="1" t="str">
        <f t="shared" si="336"/>
        <v>19124</v>
      </c>
      <c r="C4448" s="1" t="str">
        <f>"DALLAS"</f>
        <v>DALLAS</v>
      </c>
      <c r="D4448" s="1" t="str">
        <f t="shared" si="337"/>
        <v>TX</v>
      </c>
      <c r="E4448" s="2">
        <v>1</v>
      </c>
      <c r="F4448" s="2">
        <v>1</v>
      </c>
      <c r="G4448" s="2">
        <v>1</v>
      </c>
      <c r="H4448" s="2">
        <v>1</v>
      </c>
    </row>
    <row r="4449" spans="1:8" x14ac:dyDescent="0.25">
      <c r="A4449" s="1" t="str">
        <f>"75229"</f>
        <v>75229</v>
      </c>
      <c r="B4449" s="1" t="str">
        <f t="shared" si="336"/>
        <v>19124</v>
      </c>
      <c r="C4449" s="1" t="str">
        <f>"DALLAS"</f>
        <v>DALLAS</v>
      </c>
      <c r="D4449" s="1" t="str">
        <f t="shared" si="337"/>
        <v>TX</v>
      </c>
      <c r="E4449" s="2">
        <v>1</v>
      </c>
      <c r="F4449" s="2">
        <v>1</v>
      </c>
      <c r="G4449" s="2">
        <v>1</v>
      </c>
      <c r="H4449" s="2">
        <v>1</v>
      </c>
    </row>
    <row r="4450" spans="1:8" x14ac:dyDescent="0.25">
      <c r="A4450" s="1" t="str">
        <f>"75209"</f>
        <v>75209</v>
      </c>
      <c r="B4450" s="1" t="str">
        <f t="shared" si="336"/>
        <v>19124</v>
      </c>
      <c r="C4450" s="1" t="str">
        <f>"DALLAS"</f>
        <v>DALLAS</v>
      </c>
      <c r="D4450" s="1" t="str">
        <f t="shared" si="337"/>
        <v>TX</v>
      </c>
      <c r="E4450" s="2">
        <v>1</v>
      </c>
      <c r="F4450" s="2">
        <v>1</v>
      </c>
      <c r="G4450" s="2">
        <v>1</v>
      </c>
      <c r="H4450" s="2">
        <v>1</v>
      </c>
    </row>
    <row r="4451" spans="1:8" x14ac:dyDescent="0.25">
      <c r="A4451" s="1" t="str">
        <f>"75116"</f>
        <v>75116</v>
      </c>
      <c r="B4451" s="1" t="str">
        <f t="shared" si="336"/>
        <v>19124</v>
      </c>
      <c r="C4451" s="1" t="str">
        <f>"DUNCANVILLE"</f>
        <v>DUNCANVILLE</v>
      </c>
      <c r="D4451" s="1" t="str">
        <f t="shared" si="337"/>
        <v>TX</v>
      </c>
      <c r="E4451" s="2">
        <v>1</v>
      </c>
      <c r="F4451" s="2">
        <v>1</v>
      </c>
      <c r="G4451" s="2">
        <v>1</v>
      </c>
      <c r="H4451" s="2">
        <v>1</v>
      </c>
    </row>
    <row r="4452" spans="1:8" x14ac:dyDescent="0.25">
      <c r="A4452" s="1" t="str">
        <f>"75403"</f>
        <v>75403</v>
      </c>
      <c r="B4452" s="1" t="str">
        <f t="shared" si="336"/>
        <v>19124</v>
      </c>
      <c r="C4452" s="1" t="str">
        <f>"GREENVILLE"</f>
        <v>GREENVILLE</v>
      </c>
      <c r="D4452" s="1" t="str">
        <f t="shared" si="337"/>
        <v>TX</v>
      </c>
      <c r="E4452" s="2">
        <v>1</v>
      </c>
      <c r="F4452" s="2">
        <v>1</v>
      </c>
      <c r="G4452" s="2">
        <v>1</v>
      </c>
      <c r="H4452" s="2">
        <v>1</v>
      </c>
    </row>
    <row r="4453" spans="1:8" x14ac:dyDescent="0.25">
      <c r="A4453" s="1" t="str">
        <f>"76058"</f>
        <v>76058</v>
      </c>
      <c r="B4453" s="1" t="str">
        <f>"23104"</f>
        <v>23104</v>
      </c>
      <c r="C4453" s="1" t="str">
        <f>"JOSHUA"</f>
        <v>JOSHUA</v>
      </c>
      <c r="D4453" s="1" t="str">
        <f t="shared" si="337"/>
        <v>TX</v>
      </c>
      <c r="E4453" s="2">
        <v>1</v>
      </c>
      <c r="F4453" s="2">
        <v>1</v>
      </c>
      <c r="G4453" s="2">
        <v>1</v>
      </c>
      <c r="H4453" s="2">
        <v>1</v>
      </c>
    </row>
    <row r="4454" spans="1:8" x14ac:dyDescent="0.25">
      <c r="A4454" s="1" t="str">
        <f>"76012"</f>
        <v>76012</v>
      </c>
      <c r="B4454" s="1" t="str">
        <f>"23104"</f>
        <v>23104</v>
      </c>
      <c r="C4454" s="1" t="str">
        <f>"ARLINGTON"</f>
        <v>ARLINGTON</v>
      </c>
      <c r="D4454" s="1" t="str">
        <f t="shared" si="337"/>
        <v>TX</v>
      </c>
      <c r="E4454" s="2">
        <v>1</v>
      </c>
      <c r="F4454" s="2">
        <v>1</v>
      </c>
      <c r="G4454" s="2">
        <v>1</v>
      </c>
      <c r="H4454" s="2">
        <v>1</v>
      </c>
    </row>
    <row r="4455" spans="1:8" x14ac:dyDescent="0.25">
      <c r="A4455" s="1" t="str">
        <f>"76008"</f>
        <v>76008</v>
      </c>
      <c r="B4455" s="1" t="str">
        <f>"23104"</f>
        <v>23104</v>
      </c>
      <c r="C4455" s="1" t="str">
        <f>"ALEDO"</f>
        <v>ALEDO</v>
      </c>
      <c r="D4455" s="1" t="str">
        <f t="shared" si="337"/>
        <v>TX</v>
      </c>
      <c r="E4455" s="2">
        <v>1</v>
      </c>
      <c r="F4455" s="2">
        <v>1</v>
      </c>
      <c r="G4455" s="2">
        <v>1</v>
      </c>
      <c r="H4455" s="2">
        <v>1</v>
      </c>
    </row>
    <row r="4456" spans="1:8" x14ac:dyDescent="0.25">
      <c r="A4456" s="1" t="str">
        <f>"76244"</f>
        <v>76244</v>
      </c>
      <c r="B4456" s="1" t="str">
        <f>"23104"</f>
        <v>23104</v>
      </c>
      <c r="C4456" s="1" t="str">
        <f>"KELLER"</f>
        <v>KELLER</v>
      </c>
      <c r="D4456" s="1" t="str">
        <f t="shared" si="337"/>
        <v>TX</v>
      </c>
      <c r="E4456" s="2">
        <v>1</v>
      </c>
      <c r="F4456" s="2">
        <v>1</v>
      </c>
      <c r="G4456" s="2">
        <v>1</v>
      </c>
      <c r="H4456" s="2">
        <v>1</v>
      </c>
    </row>
    <row r="4457" spans="1:8" x14ac:dyDescent="0.25">
      <c r="A4457" s="1" t="str">
        <f>"76247"</f>
        <v>76247</v>
      </c>
      <c r="B4457" s="1" t="str">
        <f>"19124"</f>
        <v>19124</v>
      </c>
      <c r="C4457" s="1" t="str">
        <f>"JUSTIN"</f>
        <v>JUSTIN</v>
      </c>
      <c r="D4457" s="1" t="str">
        <f t="shared" si="337"/>
        <v>TX</v>
      </c>
      <c r="E4457" s="2">
        <v>0.99650571791613696</v>
      </c>
      <c r="F4457" s="2">
        <v>1</v>
      </c>
      <c r="G4457" s="2">
        <v>1</v>
      </c>
      <c r="H4457" s="2">
        <v>0.99663299663299598</v>
      </c>
    </row>
    <row r="4458" spans="1:8" x14ac:dyDescent="0.25">
      <c r="A4458" s="1" t="str">
        <f>"76247"</f>
        <v>76247</v>
      </c>
      <c r="B4458" s="1" t="str">
        <f>"23104"</f>
        <v>23104</v>
      </c>
      <c r="C4458" s="1" t="str">
        <f>"JUSTIN"</f>
        <v>JUSTIN</v>
      </c>
      <c r="D4458" s="1" t="str">
        <f t="shared" si="337"/>
        <v>TX</v>
      </c>
      <c r="E4458" s="2">
        <v>3.4942820838627701E-3</v>
      </c>
      <c r="F4458" s="2">
        <v>0</v>
      </c>
      <c r="G4458" s="2">
        <v>0</v>
      </c>
      <c r="H4458" s="2">
        <v>3.3670033670033599E-3</v>
      </c>
    </row>
    <row r="4459" spans="1:8" x14ac:dyDescent="0.25">
      <c r="A4459" s="1" t="str">
        <f>"90007"</f>
        <v>90007</v>
      </c>
      <c r="B4459" s="1" t="str">
        <f t="shared" ref="B4459:B4464" si="338">"31084"</f>
        <v>31084</v>
      </c>
      <c r="C4459" s="1" t="str">
        <f>"LOS ANGELES"</f>
        <v>LOS ANGELES</v>
      </c>
      <c r="D4459" s="1" t="str">
        <f t="shared" ref="D4459:D4477" si="339">"CA"</f>
        <v>CA</v>
      </c>
      <c r="E4459" s="2">
        <v>1</v>
      </c>
      <c r="F4459" s="2">
        <v>1</v>
      </c>
      <c r="G4459" s="2">
        <v>1</v>
      </c>
      <c r="H4459" s="2">
        <v>1</v>
      </c>
    </row>
    <row r="4460" spans="1:8" x14ac:dyDescent="0.25">
      <c r="A4460" s="1" t="str">
        <f>"90056"</f>
        <v>90056</v>
      </c>
      <c r="B4460" s="1" t="str">
        <f t="shared" si="338"/>
        <v>31084</v>
      </c>
      <c r="C4460" s="1" t="str">
        <f>"LOS ANGELES"</f>
        <v>LOS ANGELES</v>
      </c>
      <c r="D4460" s="1" t="str">
        <f t="shared" si="339"/>
        <v>CA</v>
      </c>
      <c r="E4460" s="2">
        <v>1</v>
      </c>
      <c r="F4460" s="2">
        <v>1</v>
      </c>
      <c r="G4460" s="2">
        <v>1</v>
      </c>
      <c r="H4460" s="2">
        <v>1</v>
      </c>
    </row>
    <row r="4461" spans="1:8" x14ac:dyDescent="0.25">
      <c r="A4461" s="1" t="str">
        <f>"91361"</f>
        <v>91361</v>
      </c>
      <c r="B4461" s="1" t="str">
        <f t="shared" si="338"/>
        <v>31084</v>
      </c>
      <c r="C4461" s="1" t="str">
        <f>"WESTLAKE VILLAGE"</f>
        <v>WESTLAKE VILLAGE</v>
      </c>
      <c r="D4461" s="1" t="str">
        <f t="shared" si="339"/>
        <v>CA</v>
      </c>
      <c r="E4461" s="2">
        <v>1</v>
      </c>
      <c r="F4461" s="2">
        <v>1</v>
      </c>
      <c r="G4461" s="2">
        <v>1</v>
      </c>
      <c r="H4461" s="2">
        <v>1</v>
      </c>
    </row>
    <row r="4462" spans="1:8" x14ac:dyDescent="0.25">
      <c r="A4462" s="1" t="str">
        <f>"90405"</f>
        <v>90405</v>
      </c>
      <c r="B4462" s="1" t="str">
        <f t="shared" si="338"/>
        <v>31084</v>
      </c>
      <c r="C4462" s="1" t="str">
        <f>"SANTA MONICA"</f>
        <v>SANTA MONICA</v>
      </c>
      <c r="D4462" s="1" t="str">
        <f t="shared" si="339"/>
        <v>CA</v>
      </c>
      <c r="E4462" s="2">
        <v>1</v>
      </c>
      <c r="F4462" s="2">
        <v>1</v>
      </c>
      <c r="G4462" s="2">
        <v>1</v>
      </c>
      <c r="H4462" s="2">
        <v>1</v>
      </c>
    </row>
    <row r="4463" spans="1:8" x14ac:dyDescent="0.25">
      <c r="A4463" s="1" t="str">
        <f>"91426"</f>
        <v>91426</v>
      </c>
      <c r="B4463" s="1" t="str">
        <f t="shared" si="338"/>
        <v>31084</v>
      </c>
      <c r="C4463" s="1" t="str">
        <f>"ENCINO"</f>
        <v>ENCINO</v>
      </c>
      <c r="D4463" s="1" t="str">
        <f t="shared" si="339"/>
        <v>CA</v>
      </c>
      <c r="E4463" s="2">
        <v>1</v>
      </c>
      <c r="F4463" s="2">
        <v>1</v>
      </c>
      <c r="G4463" s="2">
        <v>1</v>
      </c>
      <c r="H4463" s="2">
        <v>1</v>
      </c>
    </row>
    <row r="4464" spans="1:8" x14ac:dyDescent="0.25">
      <c r="A4464" s="1" t="str">
        <f>"90808"</f>
        <v>90808</v>
      </c>
      <c r="B4464" s="1" t="str">
        <f t="shared" si="338"/>
        <v>31084</v>
      </c>
      <c r="C4464" s="1" t="str">
        <f>"LONG BEACH"</f>
        <v>LONG BEACH</v>
      </c>
      <c r="D4464" s="1" t="str">
        <f t="shared" si="339"/>
        <v>CA</v>
      </c>
      <c r="E4464" s="2">
        <v>0.99729747544657499</v>
      </c>
      <c r="F4464" s="2">
        <v>1</v>
      </c>
      <c r="G4464" s="2">
        <v>1</v>
      </c>
      <c r="H4464" s="2">
        <v>0.997501675705319</v>
      </c>
    </row>
    <row r="4465" spans="1:8" x14ac:dyDescent="0.25">
      <c r="A4465" s="1" t="str">
        <f>"90808"</f>
        <v>90808</v>
      </c>
      <c r="B4465" s="1" t="str">
        <f>"11244"</f>
        <v>11244</v>
      </c>
      <c r="C4465" s="1" t="str">
        <f>"LONG BEACH"</f>
        <v>LONG BEACH</v>
      </c>
      <c r="D4465" s="1" t="str">
        <f t="shared" si="339"/>
        <v>CA</v>
      </c>
      <c r="E4465" s="2">
        <v>2.7025245534242899E-3</v>
      </c>
      <c r="F4465" s="2">
        <v>0</v>
      </c>
      <c r="G4465" s="2">
        <v>0</v>
      </c>
      <c r="H4465" s="2">
        <v>2.49832429468039E-3</v>
      </c>
    </row>
    <row r="4466" spans="1:8" x14ac:dyDescent="0.25">
      <c r="A4466" s="1" t="str">
        <f>"91103"</f>
        <v>91103</v>
      </c>
      <c r="B4466" s="1" t="str">
        <f>"31084"</f>
        <v>31084</v>
      </c>
      <c r="C4466" s="1" t="str">
        <f>"PASADENA"</f>
        <v>PASADENA</v>
      </c>
      <c r="D4466" s="1" t="str">
        <f t="shared" si="339"/>
        <v>CA</v>
      </c>
      <c r="E4466" s="2">
        <v>1</v>
      </c>
      <c r="F4466" s="2">
        <v>1</v>
      </c>
      <c r="G4466" s="2">
        <v>1</v>
      </c>
      <c r="H4466" s="2">
        <v>1</v>
      </c>
    </row>
    <row r="4467" spans="1:8" x14ac:dyDescent="0.25">
      <c r="A4467" s="1" t="str">
        <f>"94018"</f>
        <v>94018</v>
      </c>
      <c r="B4467" s="1" t="str">
        <f>"41884"</f>
        <v>41884</v>
      </c>
      <c r="C4467" s="1" t="str">
        <f>"EL GRANADA"</f>
        <v>EL GRANADA</v>
      </c>
      <c r="D4467" s="1" t="str">
        <f t="shared" si="339"/>
        <v>CA</v>
      </c>
      <c r="E4467" s="2">
        <v>1</v>
      </c>
      <c r="F4467" s="2">
        <v>1</v>
      </c>
      <c r="G4467" s="2">
        <v>1</v>
      </c>
      <c r="H4467" s="2">
        <v>1</v>
      </c>
    </row>
    <row r="4468" spans="1:8" x14ac:dyDescent="0.25">
      <c r="A4468" s="1" t="str">
        <f>"94010"</f>
        <v>94010</v>
      </c>
      <c r="B4468" s="1" t="str">
        <f>"41884"</f>
        <v>41884</v>
      </c>
      <c r="C4468" s="1" t="str">
        <f>"BURLINGAME"</f>
        <v>BURLINGAME</v>
      </c>
      <c r="D4468" s="1" t="str">
        <f t="shared" si="339"/>
        <v>CA</v>
      </c>
      <c r="E4468" s="2">
        <v>1</v>
      </c>
      <c r="F4468" s="2">
        <v>1</v>
      </c>
      <c r="G4468" s="2">
        <v>1</v>
      </c>
      <c r="H4468" s="2">
        <v>1</v>
      </c>
    </row>
    <row r="4469" spans="1:8" x14ac:dyDescent="0.25">
      <c r="A4469" s="1" t="str">
        <f>"91711"</f>
        <v>91711</v>
      </c>
      <c r="B4469" s="1" t="str">
        <f>"31084"</f>
        <v>31084</v>
      </c>
      <c r="C4469" s="1" t="str">
        <f>"CLAREMONT"</f>
        <v>CLAREMONT</v>
      </c>
      <c r="D4469" s="1" t="str">
        <f t="shared" si="339"/>
        <v>CA</v>
      </c>
      <c r="E4469" s="2">
        <v>1</v>
      </c>
      <c r="F4469" s="2">
        <v>1</v>
      </c>
      <c r="G4469" s="2">
        <v>1</v>
      </c>
      <c r="H4469" s="2">
        <v>1</v>
      </c>
    </row>
    <row r="4470" spans="1:8" x14ac:dyDescent="0.25">
      <c r="A4470" s="1" t="str">
        <f>"92856"</f>
        <v>92856</v>
      </c>
      <c r="B4470" s="1" t="str">
        <f>"11244"</f>
        <v>11244</v>
      </c>
      <c r="C4470" s="1" t="str">
        <f>"ORANGE"</f>
        <v>ORANGE</v>
      </c>
      <c r="D4470" s="1" t="str">
        <f t="shared" si="339"/>
        <v>CA</v>
      </c>
      <c r="E4470" s="2">
        <v>1</v>
      </c>
      <c r="F4470" s="2">
        <v>1</v>
      </c>
      <c r="G4470" s="2">
        <v>1</v>
      </c>
      <c r="H4470" s="2">
        <v>1</v>
      </c>
    </row>
    <row r="4471" spans="1:8" x14ac:dyDescent="0.25">
      <c r="A4471" s="1" t="str">
        <f>"91803"</f>
        <v>91803</v>
      </c>
      <c r="B4471" s="1" t="str">
        <f>"31084"</f>
        <v>31084</v>
      </c>
      <c r="C4471" s="1" t="str">
        <f>"ALHAMBRA"</f>
        <v>ALHAMBRA</v>
      </c>
      <c r="D4471" s="1" t="str">
        <f t="shared" si="339"/>
        <v>CA</v>
      </c>
      <c r="E4471" s="2">
        <v>1</v>
      </c>
      <c r="F4471" s="2">
        <v>1</v>
      </c>
      <c r="G4471" s="2">
        <v>1</v>
      </c>
      <c r="H4471" s="2">
        <v>1</v>
      </c>
    </row>
    <row r="4472" spans="1:8" x14ac:dyDescent="0.25">
      <c r="A4472" s="1" t="str">
        <f>"94531"</f>
        <v>94531</v>
      </c>
      <c r="B4472" s="1" t="str">
        <f>"36084"</f>
        <v>36084</v>
      </c>
      <c r="C4472" s="1" t="str">
        <f>"ANTIOCH"</f>
        <v>ANTIOCH</v>
      </c>
      <c r="D4472" s="1" t="str">
        <f t="shared" si="339"/>
        <v>CA</v>
      </c>
      <c r="E4472" s="2">
        <v>1</v>
      </c>
      <c r="F4472" s="2">
        <v>1</v>
      </c>
      <c r="G4472" s="2">
        <v>1</v>
      </c>
      <c r="H4472" s="2">
        <v>1</v>
      </c>
    </row>
    <row r="4473" spans="1:8" x14ac:dyDescent="0.25">
      <c r="A4473" s="1" t="str">
        <f>"94539"</f>
        <v>94539</v>
      </c>
      <c r="B4473" s="1" t="str">
        <f>"36084"</f>
        <v>36084</v>
      </c>
      <c r="C4473" s="1" t="str">
        <f>"FREMONT"</f>
        <v>FREMONT</v>
      </c>
      <c r="D4473" s="1" t="str">
        <f t="shared" si="339"/>
        <v>CA</v>
      </c>
      <c r="E4473" s="2">
        <v>1</v>
      </c>
      <c r="F4473" s="2">
        <v>1</v>
      </c>
      <c r="G4473" s="2">
        <v>1</v>
      </c>
      <c r="H4473" s="2">
        <v>1</v>
      </c>
    </row>
    <row r="4474" spans="1:8" x14ac:dyDescent="0.25">
      <c r="A4474" s="1" t="str">
        <f>"94543"</f>
        <v>94543</v>
      </c>
      <c r="B4474" s="1" t="str">
        <f>"36084"</f>
        <v>36084</v>
      </c>
      <c r="C4474" s="1" t="str">
        <f>"HAYWARD"</f>
        <v>HAYWARD</v>
      </c>
      <c r="D4474" s="1" t="str">
        <f t="shared" si="339"/>
        <v>CA</v>
      </c>
      <c r="E4474" s="2">
        <v>1</v>
      </c>
      <c r="F4474" s="2">
        <v>1</v>
      </c>
      <c r="G4474" s="2">
        <v>1</v>
      </c>
      <c r="H4474" s="2">
        <v>1</v>
      </c>
    </row>
    <row r="4475" spans="1:8" x14ac:dyDescent="0.25">
      <c r="A4475" s="1" t="str">
        <f>"94402"</f>
        <v>94402</v>
      </c>
      <c r="B4475" s="1" t="str">
        <f>"41884"</f>
        <v>41884</v>
      </c>
      <c r="C4475" s="1" t="str">
        <f>"SAN MATEO"</f>
        <v>SAN MATEO</v>
      </c>
      <c r="D4475" s="1" t="str">
        <f t="shared" si="339"/>
        <v>CA</v>
      </c>
      <c r="E4475" s="2">
        <v>1</v>
      </c>
      <c r="F4475" s="2">
        <v>1</v>
      </c>
      <c r="G4475" s="2">
        <v>1</v>
      </c>
      <c r="H4475" s="2">
        <v>1</v>
      </c>
    </row>
    <row r="4476" spans="1:8" x14ac:dyDescent="0.25">
      <c r="A4476" s="1" t="str">
        <f>"94572"</f>
        <v>94572</v>
      </c>
      <c r="B4476" s="1" t="str">
        <f>"36084"</f>
        <v>36084</v>
      </c>
      <c r="C4476" s="1" t="str">
        <f>"RODEO"</f>
        <v>RODEO</v>
      </c>
      <c r="D4476" s="1" t="str">
        <f t="shared" si="339"/>
        <v>CA</v>
      </c>
      <c r="E4476" s="2">
        <v>1</v>
      </c>
      <c r="F4476" s="2">
        <v>1</v>
      </c>
      <c r="G4476" s="2">
        <v>1</v>
      </c>
      <c r="H4476" s="2">
        <v>1</v>
      </c>
    </row>
    <row r="4477" spans="1:8" x14ac:dyDescent="0.25">
      <c r="A4477" s="1" t="str">
        <f>"94621"</f>
        <v>94621</v>
      </c>
      <c r="B4477" s="1" t="str">
        <f>"36084"</f>
        <v>36084</v>
      </c>
      <c r="C4477" s="1" t="str">
        <f>"OAKLAND"</f>
        <v>OAKLAND</v>
      </c>
      <c r="D4477" s="1" t="str">
        <f t="shared" si="339"/>
        <v>CA</v>
      </c>
      <c r="E4477" s="2">
        <v>1</v>
      </c>
      <c r="F4477" s="2">
        <v>1</v>
      </c>
      <c r="G4477" s="2">
        <v>1</v>
      </c>
      <c r="H4477" s="2">
        <v>1</v>
      </c>
    </row>
    <row r="4478" spans="1:8" x14ac:dyDescent="0.25">
      <c r="A4478" s="1" t="str">
        <f>"98005"</f>
        <v>98005</v>
      </c>
      <c r="B4478" s="1" t="str">
        <f>"42644"</f>
        <v>42644</v>
      </c>
      <c r="C4478" s="1" t="str">
        <f>"BELLEVUE"</f>
        <v>BELLEVUE</v>
      </c>
      <c r="D4478" s="1" t="str">
        <f t="shared" ref="D4478:D4484" si="340">"WA"</f>
        <v>WA</v>
      </c>
      <c r="E4478" s="2">
        <v>1</v>
      </c>
      <c r="F4478" s="2">
        <v>1</v>
      </c>
      <c r="G4478" s="2">
        <v>1</v>
      </c>
      <c r="H4478" s="2">
        <v>1</v>
      </c>
    </row>
    <row r="4479" spans="1:8" x14ac:dyDescent="0.25">
      <c r="A4479" s="1" t="str">
        <f>"98390"</f>
        <v>98390</v>
      </c>
      <c r="B4479" s="1" t="str">
        <f>"45104"</f>
        <v>45104</v>
      </c>
      <c r="C4479" s="1" t="str">
        <f>"SUMNER"</f>
        <v>SUMNER</v>
      </c>
      <c r="D4479" s="1" t="str">
        <f t="shared" si="340"/>
        <v>WA</v>
      </c>
      <c r="E4479" s="2">
        <v>1</v>
      </c>
      <c r="F4479" s="2">
        <v>1</v>
      </c>
      <c r="G4479" s="2">
        <v>1</v>
      </c>
      <c r="H4479" s="2">
        <v>1</v>
      </c>
    </row>
    <row r="4480" spans="1:8" x14ac:dyDescent="0.25">
      <c r="A4480" s="1" t="str">
        <f>"98290"</f>
        <v>98290</v>
      </c>
      <c r="B4480" s="1" t="str">
        <f>"42644"</f>
        <v>42644</v>
      </c>
      <c r="C4480" s="1" t="str">
        <f>"SNOHOMISH"</f>
        <v>SNOHOMISH</v>
      </c>
      <c r="D4480" s="1" t="str">
        <f t="shared" si="340"/>
        <v>WA</v>
      </c>
      <c r="E4480" s="2">
        <v>1</v>
      </c>
      <c r="F4480" s="2">
        <v>1</v>
      </c>
      <c r="G4480" s="2">
        <v>1</v>
      </c>
      <c r="H4480" s="2">
        <v>1</v>
      </c>
    </row>
    <row r="4481" spans="1:8" x14ac:dyDescent="0.25">
      <c r="A4481" s="1" t="str">
        <f>"98208"</f>
        <v>98208</v>
      </c>
      <c r="B4481" s="1" t="str">
        <f>"42644"</f>
        <v>42644</v>
      </c>
      <c r="C4481" s="1" t="str">
        <f>"EVERETT"</f>
        <v>EVERETT</v>
      </c>
      <c r="D4481" s="1" t="str">
        <f t="shared" si="340"/>
        <v>WA</v>
      </c>
      <c r="E4481" s="2">
        <v>1</v>
      </c>
      <c r="F4481" s="2">
        <v>1</v>
      </c>
      <c r="G4481" s="2">
        <v>1</v>
      </c>
      <c r="H4481" s="2">
        <v>1</v>
      </c>
    </row>
    <row r="4482" spans="1:8" x14ac:dyDescent="0.25">
      <c r="A4482" s="1" t="str">
        <f>"98121"</f>
        <v>98121</v>
      </c>
      <c r="B4482" s="1" t="str">
        <f>"42644"</f>
        <v>42644</v>
      </c>
      <c r="C4482" s="1" t="str">
        <f>"SEATTLE"</f>
        <v>SEATTLE</v>
      </c>
      <c r="D4482" s="1" t="str">
        <f t="shared" si="340"/>
        <v>WA</v>
      </c>
      <c r="E4482" s="2">
        <v>1</v>
      </c>
      <c r="F4482" s="2">
        <v>1</v>
      </c>
      <c r="G4482" s="2">
        <v>1</v>
      </c>
      <c r="H4482" s="2">
        <v>1</v>
      </c>
    </row>
    <row r="4483" spans="1:8" x14ac:dyDescent="0.25">
      <c r="A4483" s="1" t="str">
        <f>"98446"</f>
        <v>98446</v>
      </c>
      <c r="B4483" s="1" t="str">
        <f>"45104"</f>
        <v>45104</v>
      </c>
      <c r="C4483" s="1" t="str">
        <f>"TACOMA"</f>
        <v>TACOMA</v>
      </c>
      <c r="D4483" s="1" t="str">
        <f t="shared" si="340"/>
        <v>WA</v>
      </c>
      <c r="E4483" s="2">
        <v>1</v>
      </c>
      <c r="F4483" s="2">
        <v>1</v>
      </c>
      <c r="G4483" s="2">
        <v>1</v>
      </c>
      <c r="H4483" s="2">
        <v>1</v>
      </c>
    </row>
    <row r="4484" spans="1:8" x14ac:dyDescent="0.25">
      <c r="A4484" s="1" t="str">
        <f>"98418"</f>
        <v>98418</v>
      </c>
      <c r="B4484" s="1" t="str">
        <f>"45104"</f>
        <v>45104</v>
      </c>
      <c r="C4484" s="1" t="str">
        <f>"TACOMA"</f>
        <v>TACOMA</v>
      </c>
      <c r="D4484" s="1" t="str">
        <f t="shared" si="340"/>
        <v>WA</v>
      </c>
      <c r="E4484" s="2">
        <v>1</v>
      </c>
      <c r="F4484" s="2">
        <v>1</v>
      </c>
      <c r="G4484" s="2">
        <v>1</v>
      </c>
      <c r="H4484" s="2">
        <v>1</v>
      </c>
    </row>
    <row r="4485" spans="1:8" x14ac:dyDescent="0.25">
      <c r="A4485" s="1" t="str">
        <f>"01903"</f>
        <v>01903</v>
      </c>
      <c r="B4485" s="1" t="str">
        <f>"15764"</f>
        <v>15764</v>
      </c>
      <c r="C4485" s="1" t="str">
        <f>"LYNN"</f>
        <v>LYNN</v>
      </c>
      <c r="D4485" s="1" t="str">
        <f>"MA"</f>
        <v>MA</v>
      </c>
      <c r="E4485" s="2">
        <v>1</v>
      </c>
      <c r="F4485" s="2">
        <v>1</v>
      </c>
      <c r="G4485" s="2">
        <v>1</v>
      </c>
      <c r="H4485" s="2">
        <v>1</v>
      </c>
    </row>
    <row r="4486" spans="1:8" x14ac:dyDescent="0.25">
      <c r="A4486" s="1" t="str">
        <f>"10106"</f>
        <v>10106</v>
      </c>
      <c r="B4486" s="1" t="str">
        <f>"35614"</f>
        <v>35614</v>
      </c>
      <c r="C4486" s="1" t="str">
        <f>"NEW YORK"</f>
        <v>NEW YORK</v>
      </c>
      <c r="D4486" s="1" t="str">
        <f>"NY"</f>
        <v>NY</v>
      </c>
      <c r="E4486" s="2">
        <v>0</v>
      </c>
      <c r="F4486" s="2">
        <v>1</v>
      </c>
      <c r="G4486" s="2">
        <v>1</v>
      </c>
      <c r="H4486" s="2">
        <v>1</v>
      </c>
    </row>
    <row r="4487" spans="1:8" x14ac:dyDescent="0.25">
      <c r="A4487" s="1" t="str">
        <f>"19022"</f>
        <v>19022</v>
      </c>
      <c r="B4487" s="1" t="str">
        <f>"37964"</f>
        <v>37964</v>
      </c>
      <c r="C4487" s="1" t="str">
        <f>"CRUM LYNNE"</f>
        <v>CRUM LYNNE</v>
      </c>
      <c r="D4487" s="1" t="str">
        <f>"PA"</f>
        <v>PA</v>
      </c>
      <c r="E4487" s="2">
        <v>1</v>
      </c>
      <c r="F4487" s="2">
        <v>1</v>
      </c>
      <c r="G4487" s="2">
        <v>1</v>
      </c>
      <c r="H4487" s="2">
        <v>1</v>
      </c>
    </row>
    <row r="4488" spans="1:8" x14ac:dyDescent="0.25">
      <c r="A4488" s="1" t="str">
        <f>"19373"</f>
        <v>19373</v>
      </c>
      <c r="B4488" s="1" t="str">
        <f>"33874"</f>
        <v>33874</v>
      </c>
      <c r="C4488" s="1" t="str">
        <f>"THORNTON"</f>
        <v>THORNTON</v>
      </c>
      <c r="D4488" s="1" t="str">
        <f>"PA"</f>
        <v>PA</v>
      </c>
      <c r="E4488" s="2">
        <v>9.4007050528789604E-3</v>
      </c>
      <c r="F4488" s="2">
        <v>0</v>
      </c>
      <c r="G4488" s="2">
        <v>0</v>
      </c>
      <c r="H4488" s="2">
        <v>9.0600226500566206E-3</v>
      </c>
    </row>
    <row r="4489" spans="1:8" x14ac:dyDescent="0.25">
      <c r="A4489" s="1" t="str">
        <f>"19373"</f>
        <v>19373</v>
      </c>
      <c r="B4489" s="1" t="str">
        <f>"37964"</f>
        <v>37964</v>
      </c>
      <c r="C4489" s="1" t="str">
        <f>"THORNTON"</f>
        <v>THORNTON</v>
      </c>
      <c r="D4489" s="1" t="str">
        <f>"PA"</f>
        <v>PA</v>
      </c>
      <c r="E4489" s="2">
        <v>0.99059929494712096</v>
      </c>
      <c r="F4489" s="2">
        <v>1</v>
      </c>
      <c r="G4489" s="2">
        <v>1</v>
      </c>
      <c r="H4489" s="2">
        <v>0.99093997734994299</v>
      </c>
    </row>
    <row r="4490" spans="1:8" x14ac:dyDescent="0.25">
      <c r="A4490" s="1" t="str">
        <f>"20791"</f>
        <v>20791</v>
      </c>
      <c r="B4490" s="1" t="str">
        <f>"47894"</f>
        <v>47894</v>
      </c>
      <c r="C4490" s="1" t="str">
        <f>"CAPITOL HEIGHTS"</f>
        <v>CAPITOL HEIGHTS</v>
      </c>
      <c r="D4490" s="1" t="str">
        <f>"MD"</f>
        <v>MD</v>
      </c>
      <c r="E4490" s="2">
        <v>1</v>
      </c>
      <c r="F4490" s="2">
        <v>1</v>
      </c>
      <c r="G4490" s="2">
        <v>1</v>
      </c>
      <c r="H4490" s="2">
        <v>1</v>
      </c>
    </row>
    <row r="4491" spans="1:8" x14ac:dyDescent="0.25">
      <c r="A4491" s="1" t="str">
        <f>"33077"</f>
        <v>33077</v>
      </c>
      <c r="B4491" s="1" t="str">
        <f>"22744"</f>
        <v>22744</v>
      </c>
      <c r="C4491" s="1" t="str">
        <f>"POMPANO BEACH"</f>
        <v>POMPANO BEACH</v>
      </c>
      <c r="D4491" s="1" t="str">
        <f>"FL"</f>
        <v>FL</v>
      </c>
      <c r="E4491" s="2">
        <v>1</v>
      </c>
      <c r="F4491" s="2">
        <v>1</v>
      </c>
      <c r="G4491" s="2">
        <v>1</v>
      </c>
      <c r="H4491" s="2">
        <v>1</v>
      </c>
    </row>
    <row r="4492" spans="1:8" x14ac:dyDescent="0.25">
      <c r="A4492" s="1" t="str">
        <f>"33269"</f>
        <v>33269</v>
      </c>
      <c r="B4492" s="1" t="str">
        <f>"33124"</f>
        <v>33124</v>
      </c>
      <c r="C4492" s="1" t="str">
        <f>"MIAMI"</f>
        <v>MIAMI</v>
      </c>
      <c r="D4492" s="1" t="str">
        <f>"FL"</f>
        <v>FL</v>
      </c>
      <c r="E4492" s="2">
        <v>1</v>
      </c>
      <c r="F4492" s="2">
        <v>1</v>
      </c>
      <c r="G4492" s="2">
        <v>1</v>
      </c>
      <c r="H4492" s="2">
        <v>1</v>
      </c>
    </row>
    <row r="4493" spans="1:8" x14ac:dyDescent="0.25">
      <c r="A4493" s="1" t="str">
        <f>"33231"</f>
        <v>33231</v>
      </c>
      <c r="B4493" s="1" t="str">
        <f>"33124"</f>
        <v>33124</v>
      </c>
      <c r="C4493" s="1" t="str">
        <f>"MIAMI"</f>
        <v>MIAMI</v>
      </c>
      <c r="D4493" s="1" t="str">
        <f>"FL"</f>
        <v>FL</v>
      </c>
      <c r="E4493" s="2">
        <v>1</v>
      </c>
      <c r="F4493" s="2">
        <v>1</v>
      </c>
      <c r="G4493" s="2">
        <v>1</v>
      </c>
      <c r="H4493" s="2">
        <v>1</v>
      </c>
    </row>
    <row r="4494" spans="1:8" x14ac:dyDescent="0.25">
      <c r="A4494" s="1" t="str">
        <f>"48332"</f>
        <v>48332</v>
      </c>
      <c r="B4494" s="1" t="str">
        <f>"47664"</f>
        <v>47664</v>
      </c>
      <c r="C4494" s="1" t="str">
        <f>"FARMINGTON"</f>
        <v>FARMINGTON</v>
      </c>
      <c r="D4494" s="1" t="str">
        <f>"MI"</f>
        <v>MI</v>
      </c>
      <c r="E4494" s="2">
        <v>1</v>
      </c>
      <c r="F4494" s="2">
        <v>1</v>
      </c>
      <c r="G4494" s="2">
        <v>1</v>
      </c>
      <c r="H4494" s="2">
        <v>1</v>
      </c>
    </row>
    <row r="4495" spans="1:8" x14ac:dyDescent="0.25">
      <c r="A4495" s="1" t="str">
        <f>"48151"</f>
        <v>48151</v>
      </c>
      <c r="B4495" s="1" t="str">
        <f>"19804"</f>
        <v>19804</v>
      </c>
      <c r="C4495" s="1" t="str">
        <f>"LIVONIA"</f>
        <v>LIVONIA</v>
      </c>
      <c r="D4495" s="1" t="str">
        <f>"MI"</f>
        <v>MI</v>
      </c>
      <c r="E4495" s="2">
        <v>1</v>
      </c>
      <c r="F4495" s="2">
        <v>1</v>
      </c>
      <c r="G4495" s="2">
        <v>1</v>
      </c>
      <c r="H4495" s="2">
        <v>1</v>
      </c>
    </row>
    <row r="4496" spans="1:8" x14ac:dyDescent="0.25">
      <c r="A4496" s="1" t="str">
        <f>"60522"</f>
        <v>60522</v>
      </c>
      <c r="B4496" s="1" t="str">
        <f>"16984"</f>
        <v>16984</v>
      </c>
      <c r="C4496" s="1" t="str">
        <f>"HINSDALE"</f>
        <v>HINSDALE</v>
      </c>
      <c r="D4496" s="1" t="str">
        <f>"IL"</f>
        <v>IL</v>
      </c>
      <c r="E4496" s="2">
        <v>1</v>
      </c>
      <c r="F4496" s="2">
        <v>1</v>
      </c>
      <c r="G4496" s="2">
        <v>1</v>
      </c>
      <c r="H4496" s="2">
        <v>1</v>
      </c>
    </row>
    <row r="4497" spans="1:8" x14ac:dyDescent="0.25">
      <c r="A4497" s="1" t="str">
        <f>"90651"</f>
        <v>90651</v>
      </c>
      <c r="B4497" s="1" t="str">
        <f>"31084"</f>
        <v>31084</v>
      </c>
      <c r="C4497" s="1" t="str">
        <f>"NORWALK"</f>
        <v>NORWALK</v>
      </c>
      <c r="D4497" s="1" t="str">
        <f>"CA"</f>
        <v>CA</v>
      </c>
      <c r="E4497" s="2">
        <v>1</v>
      </c>
      <c r="F4497" s="2">
        <v>1</v>
      </c>
      <c r="G4497" s="2">
        <v>1</v>
      </c>
      <c r="H4497" s="2">
        <v>1</v>
      </c>
    </row>
    <row r="4498" spans="1:8" x14ac:dyDescent="0.25">
      <c r="A4498" s="1" t="str">
        <f>"94511"</f>
        <v>94511</v>
      </c>
      <c r="B4498" s="1" t="str">
        <f>"36084"</f>
        <v>36084</v>
      </c>
      <c r="C4498" s="1" t="str">
        <f>"BETHEL ISLAND"</f>
        <v>BETHEL ISLAND</v>
      </c>
      <c r="D4498" s="1" t="str">
        <f>"CA"</f>
        <v>CA</v>
      </c>
      <c r="E4498" s="2">
        <v>1</v>
      </c>
      <c r="F4498" s="2">
        <v>0</v>
      </c>
      <c r="G4498" s="2">
        <v>1</v>
      </c>
      <c r="H4498" s="2">
        <v>1</v>
      </c>
    </row>
    <row r="4499" spans="1:8" x14ac:dyDescent="0.25">
      <c r="A4499" s="1" t="str">
        <f>"94701"</f>
        <v>94701</v>
      </c>
      <c r="B4499" s="1" t="str">
        <f>"36084"</f>
        <v>36084</v>
      </c>
      <c r="C4499" s="1" t="str">
        <f>"BERKELEY"</f>
        <v>BERKELEY</v>
      </c>
      <c r="D4499" s="1" t="str">
        <f>"CA"</f>
        <v>CA</v>
      </c>
      <c r="E4499" s="2">
        <v>1</v>
      </c>
      <c r="F4499" s="2">
        <v>1</v>
      </c>
      <c r="G4499" s="2">
        <v>1</v>
      </c>
      <c r="H4499" s="2">
        <v>1</v>
      </c>
    </row>
    <row r="4500" spans="1:8" x14ac:dyDescent="0.25">
      <c r="A4500" s="1" t="str">
        <f>"03854"</f>
        <v>03854</v>
      </c>
      <c r="B4500" s="1" t="str">
        <f>"40484"</f>
        <v>40484</v>
      </c>
      <c r="C4500" s="1" t="str">
        <f>"NEW CASTLE"</f>
        <v>NEW CASTLE</v>
      </c>
      <c r="D4500" s="1" t="str">
        <f>"NH"</f>
        <v>NH</v>
      </c>
      <c r="E4500" s="2">
        <v>1</v>
      </c>
      <c r="F4500" s="2">
        <v>1</v>
      </c>
      <c r="G4500" s="2">
        <v>1</v>
      </c>
      <c r="H4500" s="2">
        <v>1</v>
      </c>
    </row>
    <row r="4501" spans="1:8" x14ac:dyDescent="0.25">
      <c r="A4501" s="1" t="str">
        <f>"08101"</f>
        <v>08101</v>
      </c>
      <c r="B4501" s="1" t="str">
        <f>"15804"</f>
        <v>15804</v>
      </c>
      <c r="C4501" s="1" t="str">
        <f>"CAMDEN"</f>
        <v>CAMDEN</v>
      </c>
      <c r="D4501" s="1" t="str">
        <f>"NJ"</f>
        <v>NJ</v>
      </c>
      <c r="E4501" s="2">
        <v>1</v>
      </c>
      <c r="F4501" s="2">
        <v>1</v>
      </c>
      <c r="G4501" s="2">
        <v>1</v>
      </c>
      <c r="H4501" s="2">
        <v>1</v>
      </c>
    </row>
    <row r="4502" spans="1:8" x14ac:dyDescent="0.25">
      <c r="A4502" s="1" t="str">
        <f>"19404"</f>
        <v>19404</v>
      </c>
      <c r="B4502" s="1" t="str">
        <f>"33874"</f>
        <v>33874</v>
      </c>
      <c r="C4502" s="1" t="str">
        <f>"NORRISTOWN"</f>
        <v>NORRISTOWN</v>
      </c>
      <c r="D4502" s="1" t="str">
        <f>"PA"</f>
        <v>PA</v>
      </c>
      <c r="E4502" s="2">
        <v>1</v>
      </c>
      <c r="F4502" s="2">
        <v>1</v>
      </c>
      <c r="G4502" s="2">
        <v>1</v>
      </c>
      <c r="H4502" s="2">
        <v>1</v>
      </c>
    </row>
    <row r="4503" spans="1:8" x14ac:dyDescent="0.25">
      <c r="A4503" s="1" t="str">
        <f>"21705"</f>
        <v>21705</v>
      </c>
      <c r="B4503" s="1" t="str">
        <f>"23224"</f>
        <v>23224</v>
      </c>
      <c r="C4503" s="1" t="str">
        <f>"FREDERICK"</f>
        <v>FREDERICK</v>
      </c>
      <c r="D4503" s="1" t="str">
        <f>"MD"</f>
        <v>MD</v>
      </c>
      <c r="E4503" s="2">
        <v>1</v>
      </c>
      <c r="F4503" s="2">
        <v>1</v>
      </c>
      <c r="G4503" s="2">
        <v>1</v>
      </c>
      <c r="H4503" s="2">
        <v>1</v>
      </c>
    </row>
    <row r="4504" spans="1:8" x14ac:dyDescent="0.25">
      <c r="A4504" s="1" t="str">
        <f>"33422"</f>
        <v>33422</v>
      </c>
      <c r="B4504" s="1" t="str">
        <f>"48424"</f>
        <v>48424</v>
      </c>
      <c r="C4504" s="1" t="str">
        <f>"WEST PALM BEACH"</f>
        <v>WEST PALM BEACH</v>
      </c>
      <c r="D4504" s="1" t="str">
        <f>"FL"</f>
        <v>FL</v>
      </c>
      <c r="E4504" s="2">
        <v>1</v>
      </c>
      <c r="F4504" s="2">
        <v>1</v>
      </c>
      <c r="G4504" s="2">
        <v>1</v>
      </c>
      <c r="H4504" s="2">
        <v>1</v>
      </c>
    </row>
    <row r="4505" spans="1:8" x14ac:dyDescent="0.25">
      <c r="A4505" s="1" t="str">
        <f>"75185"</f>
        <v>75185</v>
      </c>
      <c r="B4505" s="1" t="str">
        <f>"19124"</f>
        <v>19124</v>
      </c>
      <c r="C4505" s="1" t="str">
        <f>"MESQUITE"</f>
        <v>MESQUITE</v>
      </c>
      <c r="D4505" s="1" t="str">
        <f>"TX"</f>
        <v>TX</v>
      </c>
      <c r="E4505" s="2">
        <v>1</v>
      </c>
      <c r="F4505" s="2">
        <v>1</v>
      </c>
      <c r="G4505" s="2">
        <v>1</v>
      </c>
      <c r="H4505" s="2">
        <v>1</v>
      </c>
    </row>
    <row r="4506" spans="1:8" x14ac:dyDescent="0.25">
      <c r="A4506" s="1" t="str">
        <f>"98124"</f>
        <v>98124</v>
      </c>
      <c r="B4506" s="1" t="str">
        <f>"42644"</f>
        <v>42644</v>
      </c>
      <c r="C4506" s="1" t="str">
        <f>"SEATTLE"</f>
        <v>SEATTLE</v>
      </c>
      <c r="D4506" s="1" t="str">
        <f>"WA"</f>
        <v>WA</v>
      </c>
      <c r="E4506" s="2">
        <v>1</v>
      </c>
      <c r="F4506" s="2">
        <v>1</v>
      </c>
      <c r="G4506" s="2">
        <v>1</v>
      </c>
      <c r="H4506" s="2">
        <v>1</v>
      </c>
    </row>
    <row r="4507" spans="1:8" x14ac:dyDescent="0.25">
      <c r="A4507" s="1" t="str">
        <f>"02767"</f>
        <v>02767</v>
      </c>
      <c r="B4507" s="1" t="str">
        <f>"14454"</f>
        <v>14454</v>
      </c>
      <c r="C4507" s="1" t="str">
        <f>"RAYNHAM"</f>
        <v>RAYNHAM</v>
      </c>
      <c r="D4507" s="1" t="str">
        <f>"MA"</f>
        <v>MA</v>
      </c>
      <c r="E4507" s="2">
        <v>1</v>
      </c>
      <c r="F4507" s="2">
        <v>1</v>
      </c>
      <c r="G4507" s="2">
        <v>0</v>
      </c>
      <c r="H4507" s="2">
        <v>1</v>
      </c>
    </row>
    <row r="4508" spans="1:8" x14ac:dyDescent="0.25">
      <c r="A4508" s="1" t="str">
        <f>"11547"</f>
        <v>11547</v>
      </c>
      <c r="B4508" s="1" t="str">
        <f>"35004"</f>
        <v>35004</v>
      </c>
      <c r="C4508" s="1" t="str">
        <f>"GLENWOOD LANDING"</f>
        <v>GLENWOOD LANDING</v>
      </c>
      <c r="D4508" s="1" t="str">
        <f>"NY"</f>
        <v>NY</v>
      </c>
      <c r="E4508" s="2">
        <v>1</v>
      </c>
      <c r="F4508" s="2">
        <v>1</v>
      </c>
      <c r="G4508" s="2">
        <v>0</v>
      </c>
      <c r="H4508" s="2">
        <v>1</v>
      </c>
    </row>
    <row r="4509" spans="1:8" x14ac:dyDescent="0.25">
      <c r="A4509" s="1" t="str">
        <f>"33388"</f>
        <v>33388</v>
      </c>
      <c r="B4509" s="1" t="str">
        <f>"22744"</f>
        <v>22744</v>
      </c>
      <c r="C4509" s="1" t="str">
        <f>"PLANTATION"</f>
        <v>PLANTATION</v>
      </c>
      <c r="D4509" s="1" t="str">
        <f>"FL"</f>
        <v>FL</v>
      </c>
      <c r="E4509" s="2">
        <v>0</v>
      </c>
      <c r="F4509" s="2">
        <v>1</v>
      </c>
      <c r="G4509" s="2">
        <v>1</v>
      </c>
      <c r="H4509" s="2">
        <v>1</v>
      </c>
    </row>
    <row r="4510" spans="1:8" x14ac:dyDescent="0.25">
      <c r="A4510" s="1" t="str">
        <f>"02238"</f>
        <v>02238</v>
      </c>
      <c r="B4510" s="1" t="str">
        <f>"15764"</f>
        <v>15764</v>
      </c>
      <c r="C4510" s="1" t="str">
        <f>"CAMBRIDGE"</f>
        <v>CAMBRIDGE</v>
      </c>
      <c r="D4510" s="1" t="str">
        <f>"MA"</f>
        <v>MA</v>
      </c>
      <c r="E4510" s="2">
        <v>1</v>
      </c>
      <c r="F4510" s="2">
        <v>1</v>
      </c>
      <c r="G4510" s="2">
        <v>1</v>
      </c>
      <c r="H4510" s="2">
        <v>1</v>
      </c>
    </row>
    <row r="4511" spans="1:8" x14ac:dyDescent="0.25">
      <c r="A4511" s="1" t="str">
        <f>"10178"</f>
        <v>10178</v>
      </c>
      <c r="B4511" s="1" t="str">
        <f>"35614"</f>
        <v>35614</v>
      </c>
      <c r="C4511" s="1" t="str">
        <f>"NEW YORK"</f>
        <v>NEW YORK</v>
      </c>
      <c r="D4511" s="1" t="str">
        <f>"NY"</f>
        <v>NY</v>
      </c>
      <c r="E4511" s="2">
        <v>0</v>
      </c>
      <c r="F4511" s="2">
        <v>1</v>
      </c>
      <c r="G4511" s="2">
        <v>1</v>
      </c>
      <c r="H4511" s="2">
        <v>1</v>
      </c>
    </row>
    <row r="4512" spans="1:8" x14ac:dyDescent="0.25">
      <c r="A4512" s="1" t="str">
        <f>"20319"</f>
        <v>20319</v>
      </c>
      <c r="B4512" s="1" t="str">
        <f>"47894"</f>
        <v>47894</v>
      </c>
      <c r="C4512" s="1" t="str">
        <f>"WASHINGTON"</f>
        <v>WASHINGTON</v>
      </c>
      <c r="D4512" s="1" t="str">
        <f>"DC"</f>
        <v>DC</v>
      </c>
      <c r="E4512" s="2">
        <v>1</v>
      </c>
      <c r="F4512" s="2">
        <v>1</v>
      </c>
      <c r="G4512" s="2">
        <v>1</v>
      </c>
      <c r="H4512" s="2">
        <v>1</v>
      </c>
    </row>
    <row r="4513" spans="1:8" x14ac:dyDescent="0.25">
      <c r="A4513" s="1" t="str">
        <f>"33345"</f>
        <v>33345</v>
      </c>
      <c r="B4513" s="1" t="str">
        <f>"22744"</f>
        <v>22744</v>
      </c>
      <c r="C4513" s="1" t="str">
        <f>"FORT LAUDERDALE"</f>
        <v>FORT LAUDERDALE</v>
      </c>
      <c r="D4513" s="1" t="str">
        <f>"FL"</f>
        <v>FL</v>
      </c>
      <c r="E4513" s="2">
        <v>1</v>
      </c>
      <c r="F4513" s="2">
        <v>1</v>
      </c>
      <c r="G4513" s="2">
        <v>1</v>
      </c>
      <c r="H4513" s="2">
        <v>1</v>
      </c>
    </row>
    <row r="4514" spans="1:8" x14ac:dyDescent="0.25">
      <c r="A4514" s="1" t="str">
        <f>"19480"</f>
        <v>19480</v>
      </c>
      <c r="B4514" s="1" t="str">
        <f>"33874"</f>
        <v>33874</v>
      </c>
      <c r="C4514" s="1" t="str">
        <f>"UWCHLAND"</f>
        <v>UWCHLAND</v>
      </c>
      <c r="D4514" s="1" t="str">
        <f>"PA"</f>
        <v>PA</v>
      </c>
      <c r="E4514" s="2">
        <v>1</v>
      </c>
      <c r="F4514" s="2">
        <v>1</v>
      </c>
      <c r="G4514" s="2">
        <v>1</v>
      </c>
      <c r="H4514" s="2">
        <v>1</v>
      </c>
    </row>
    <row r="4515" spans="1:8" x14ac:dyDescent="0.25">
      <c r="A4515" s="1" t="str">
        <f>"08691"</f>
        <v>08691</v>
      </c>
      <c r="B4515" s="1" t="str">
        <f>"35154"</f>
        <v>35154</v>
      </c>
      <c r="C4515" s="1" t="str">
        <f>"ROBBINSVILLE"</f>
        <v>ROBBINSVILLE</v>
      </c>
      <c r="D4515" s="1" t="str">
        <f>"NJ"</f>
        <v>NJ</v>
      </c>
      <c r="E4515" s="2">
        <v>1</v>
      </c>
      <c r="F4515" s="2">
        <v>1</v>
      </c>
      <c r="G4515" s="2">
        <v>0</v>
      </c>
      <c r="H4515" s="2">
        <v>1</v>
      </c>
    </row>
    <row r="4516" spans="1:8" x14ac:dyDescent="0.25">
      <c r="A4516" s="1" t="str">
        <f>"19176"</f>
        <v>19176</v>
      </c>
      <c r="B4516" s="1" t="str">
        <f>"37964"</f>
        <v>37964</v>
      </c>
      <c r="C4516" s="1" t="str">
        <f>"PHILADELPHIA"</f>
        <v>PHILADELPHIA</v>
      </c>
      <c r="D4516" s="1" t="str">
        <f>"PA"</f>
        <v>PA</v>
      </c>
      <c r="E4516" s="2">
        <v>0</v>
      </c>
      <c r="F4516" s="2">
        <v>1</v>
      </c>
      <c r="G4516" s="2">
        <v>1</v>
      </c>
      <c r="H4516" s="2">
        <v>1</v>
      </c>
    </row>
    <row r="4517" spans="1:8" x14ac:dyDescent="0.25">
      <c r="A4517" s="1" t="str">
        <f>"10172"</f>
        <v>10172</v>
      </c>
      <c r="B4517" s="1" t="str">
        <f>"35614"</f>
        <v>35614</v>
      </c>
      <c r="C4517" s="1" t="str">
        <f>"NEW YORK"</f>
        <v>NEW YORK</v>
      </c>
      <c r="D4517" s="1" t="str">
        <f>"NY"</f>
        <v>NY</v>
      </c>
      <c r="E4517" s="2">
        <v>0</v>
      </c>
      <c r="F4517" s="2">
        <v>1</v>
      </c>
      <c r="G4517" s="2">
        <v>1</v>
      </c>
      <c r="H4517" s="2">
        <v>1</v>
      </c>
    </row>
    <row r="4518" spans="1:8" x14ac:dyDescent="0.25">
      <c r="A4518" s="1" t="str">
        <f>"90306"</f>
        <v>90306</v>
      </c>
      <c r="B4518" s="1" t="str">
        <f>"31084"</f>
        <v>31084</v>
      </c>
      <c r="C4518" s="1" t="str">
        <f>"INGLEWOOD"</f>
        <v>INGLEWOOD</v>
      </c>
      <c r="D4518" s="1" t="str">
        <f>"CA"</f>
        <v>CA</v>
      </c>
      <c r="E4518" s="2">
        <v>1</v>
      </c>
      <c r="F4518" s="2">
        <v>1</v>
      </c>
      <c r="G4518" s="2">
        <v>1</v>
      </c>
      <c r="H4518" s="2">
        <v>1</v>
      </c>
    </row>
    <row r="4519" spans="1:8" x14ac:dyDescent="0.25">
      <c r="A4519" s="1" t="str">
        <f>"10133"</f>
        <v>10133</v>
      </c>
      <c r="B4519" s="1" t="str">
        <f>"35614"</f>
        <v>35614</v>
      </c>
      <c r="C4519" s="1" t="str">
        <f>"NEW YORK"</f>
        <v>NEW YORK</v>
      </c>
      <c r="D4519" s="1" t="str">
        <f>"NY"</f>
        <v>NY</v>
      </c>
      <c r="E4519" s="2">
        <v>0</v>
      </c>
      <c r="F4519" s="2">
        <v>0</v>
      </c>
      <c r="G4519" s="2">
        <v>1</v>
      </c>
      <c r="H4519" s="2">
        <v>1</v>
      </c>
    </row>
    <row r="4520" spans="1:8" x14ac:dyDescent="0.25">
      <c r="A4520" s="1" t="str">
        <f>"08042"</f>
        <v>08042</v>
      </c>
      <c r="B4520" s="1" t="str">
        <f>"15804"</f>
        <v>15804</v>
      </c>
      <c r="C4520" s="1" t="str">
        <f>"JULIUSTOWN"</f>
        <v>JULIUSTOWN</v>
      </c>
      <c r="D4520" s="1" t="str">
        <f>"NJ"</f>
        <v>NJ</v>
      </c>
      <c r="E4520" s="2">
        <v>0</v>
      </c>
      <c r="F4520" s="2">
        <v>0</v>
      </c>
      <c r="G4520" s="2">
        <v>1</v>
      </c>
      <c r="H4520" s="2">
        <v>1</v>
      </c>
    </row>
    <row r="4521" spans="1:8" x14ac:dyDescent="0.25">
      <c r="A4521" s="1" t="str">
        <f>"22430"</f>
        <v>22430</v>
      </c>
      <c r="B4521" s="1" t="str">
        <f>"47894"</f>
        <v>47894</v>
      </c>
      <c r="C4521" s="1" t="str">
        <f>"BROOKE"</f>
        <v>BROOKE</v>
      </c>
      <c r="D4521" s="1" t="str">
        <f>"VA"</f>
        <v>VA</v>
      </c>
      <c r="E4521" s="2">
        <v>0</v>
      </c>
      <c r="F4521" s="2">
        <v>0</v>
      </c>
      <c r="G4521" s="2">
        <v>1</v>
      </c>
      <c r="H4521" s="2">
        <v>1</v>
      </c>
    </row>
    <row r="4522" spans="1:8" x14ac:dyDescent="0.25">
      <c r="A4522" s="1" t="str">
        <f>"98528"</f>
        <v>98528</v>
      </c>
      <c r="B4522" s="1" t="str">
        <f>"45104"</f>
        <v>45104</v>
      </c>
      <c r="C4522" s="1" t="str">
        <f>"BELFAIR"</f>
        <v>BELFAIR</v>
      </c>
      <c r="D4522" s="1" t="str">
        <f>"WA"</f>
        <v>WA</v>
      </c>
      <c r="E4522" s="2">
        <v>1</v>
      </c>
      <c r="F4522" s="2">
        <v>0</v>
      </c>
      <c r="G4522" s="2">
        <v>0</v>
      </c>
      <c r="H4522" s="2">
        <v>1</v>
      </c>
    </row>
    <row r="4523" spans="1:8" x14ac:dyDescent="0.25">
      <c r="A4523" s="1" t="str">
        <f>"20417"</f>
        <v>20417</v>
      </c>
      <c r="B4523" s="1" t="str">
        <f>"47894"</f>
        <v>47894</v>
      </c>
      <c r="C4523" s="1" t="str">
        <f>"WASHINGTON"</f>
        <v>WASHINGTON</v>
      </c>
      <c r="D4523" s="1" t="str">
        <f>"DC"</f>
        <v>DC</v>
      </c>
      <c r="E4523" s="2">
        <v>0</v>
      </c>
      <c r="F4523" s="2">
        <v>1</v>
      </c>
      <c r="G4523" s="2">
        <v>0</v>
      </c>
      <c r="H4523" s="2">
        <v>1</v>
      </c>
    </row>
    <row r="4524" spans="1:8" x14ac:dyDescent="0.25">
      <c r="A4524" s="1" t="str">
        <f>"20230"</f>
        <v>20230</v>
      </c>
      <c r="B4524" s="1" t="str">
        <f>"47894"</f>
        <v>47894</v>
      </c>
      <c r="C4524" s="1" t="str">
        <f>"WASHINGTON"</f>
        <v>WASHINGTON</v>
      </c>
      <c r="D4524" s="1" t="str">
        <f>"DC"</f>
        <v>DC</v>
      </c>
      <c r="E4524" s="2">
        <v>0</v>
      </c>
      <c r="F4524" s="2">
        <v>1</v>
      </c>
      <c r="G4524" s="2">
        <v>0</v>
      </c>
      <c r="H4524" s="2">
        <v>1</v>
      </c>
    </row>
    <row r="4525" spans="1:8" x14ac:dyDescent="0.25">
      <c r="A4525" s="1" t="str">
        <f>"20539"</f>
        <v>20539</v>
      </c>
      <c r="B4525" s="1" t="str">
        <f>"47894"</f>
        <v>47894</v>
      </c>
      <c r="C4525" s="1" t="str">
        <f>"WASHINGTON"</f>
        <v>WASHINGTON</v>
      </c>
      <c r="D4525" s="1" t="str">
        <f>"DC"</f>
        <v>DC</v>
      </c>
      <c r="E4525" s="2">
        <v>0</v>
      </c>
      <c r="F4525" s="2">
        <v>1</v>
      </c>
      <c r="G4525" s="2">
        <v>0</v>
      </c>
      <c r="H4525" s="2">
        <v>1</v>
      </c>
    </row>
    <row r="4526" spans="1:8" x14ac:dyDescent="0.25">
      <c r="A4526" s="1" t="str">
        <f>"18916"</f>
        <v>18916</v>
      </c>
      <c r="B4526" s="1" t="str">
        <f>"33874"</f>
        <v>33874</v>
      </c>
      <c r="C4526" s="1" t="str">
        <f>"DANBORO"</f>
        <v>DANBORO</v>
      </c>
      <c r="D4526" s="1" t="str">
        <f>"PA"</f>
        <v>PA</v>
      </c>
      <c r="E4526" s="2">
        <v>0</v>
      </c>
      <c r="F4526" s="2">
        <v>0</v>
      </c>
      <c r="G4526" s="2">
        <v>1</v>
      </c>
      <c r="H4526" s="2">
        <v>1</v>
      </c>
    </row>
    <row r="4527" spans="1:8" x14ac:dyDescent="0.25">
      <c r="A4527" s="1" t="str">
        <f>"10258"</f>
        <v>10258</v>
      </c>
      <c r="B4527" s="1" t="str">
        <f>"35614"</f>
        <v>35614</v>
      </c>
      <c r="C4527" s="1" t="str">
        <f>"NEW YORK"</f>
        <v>NEW YORK</v>
      </c>
      <c r="D4527" s="1" t="str">
        <f>"NY"</f>
        <v>NY</v>
      </c>
      <c r="E4527" s="2">
        <v>0</v>
      </c>
      <c r="F4527" s="2">
        <v>0</v>
      </c>
      <c r="G4527" s="2">
        <v>1</v>
      </c>
      <c r="H4527" s="2">
        <v>1</v>
      </c>
    </row>
    <row r="4528" spans="1:8" x14ac:dyDescent="0.25">
      <c r="A4528" s="1" t="str">
        <f>"19347"</f>
        <v>19347</v>
      </c>
      <c r="B4528" s="1" t="str">
        <f>"33874"</f>
        <v>33874</v>
      </c>
      <c r="C4528" s="1" t="str">
        <f>"KEMBLESVILLE"</f>
        <v>KEMBLESVILLE</v>
      </c>
      <c r="D4528" s="1" t="str">
        <f>"PA"</f>
        <v>PA</v>
      </c>
      <c r="E4528" s="2">
        <v>0</v>
      </c>
      <c r="F4528" s="2">
        <v>0</v>
      </c>
      <c r="G4528" s="2">
        <v>1</v>
      </c>
      <c r="H4528" s="2">
        <v>1</v>
      </c>
    </row>
    <row r="4529" spans="1:8" x14ac:dyDescent="0.25">
      <c r="A4529" s="1" t="str">
        <f>"98431"</f>
        <v>98431</v>
      </c>
      <c r="B4529" s="1" t="str">
        <f>"45104"</f>
        <v>45104</v>
      </c>
      <c r="C4529" s="1" t="str">
        <f>"TACOMA"</f>
        <v>TACOMA</v>
      </c>
      <c r="D4529" s="1" t="str">
        <f>"WA"</f>
        <v>WA</v>
      </c>
      <c r="E4529" s="2">
        <v>0</v>
      </c>
      <c r="F4529" s="2">
        <v>1</v>
      </c>
      <c r="G4529" s="2">
        <v>0</v>
      </c>
      <c r="H4529" s="2">
        <v>1</v>
      </c>
    </row>
    <row r="4530" spans="1:8" x14ac:dyDescent="0.25">
      <c r="A4530" s="1" t="str">
        <f>"22160"</f>
        <v>22160</v>
      </c>
      <c r="B4530" s="1" t="str">
        <f>"47894"</f>
        <v>47894</v>
      </c>
      <c r="C4530" s="1" t="str">
        <f>"SPRINGFIELD"</f>
        <v>SPRINGFIELD</v>
      </c>
      <c r="D4530" s="1" t="str">
        <f>"VA"</f>
        <v>VA</v>
      </c>
      <c r="E4530" s="2">
        <v>0</v>
      </c>
      <c r="F4530" s="2">
        <v>1</v>
      </c>
      <c r="G4530" s="2">
        <v>1</v>
      </c>
      <c r="H4530" s="2">
        <v>1</v>
      </c>
    </row>
    <row r="4531" spans="1:8" x14ac:dyDescent="0.25">
      <c r="A4531" s="1" t="str">
        <f>"60697"</f>
        <v>60697</v>
      </c>
      <c r="B4531" s="1" t="str">
        <f>"16984"</f>
        <v>16984</v>
      </c>
      <c r="C4531" s="1" t="str">
        <f>"CHICAGO"</f>
        <v>CHICAGO</v>
      </c>
      <c r="D4531" s="1" t="str">
        <f>"IL"</f>
        <v>IL</v>
      </c>
      <c r="E4531" s="2">
        <v>0</v>
      </c>
      <c r="F4531" s="2">
        <v>0</v>
      </c>
      <c r="G4531" s="2">
        <v>1</v>
      </c>
      <c r="H4531" s="2">
        <v>1</v>
      </c>
    </row>
    <row r="4532" spans="1:8" x14ac:dyDescent="0.25">
      <c r="A4532" s="1" t="str">
        <f>"18958"</f>
        <v>18958</v>
      </c>
      <c r="B4532" s="1" t="str">
        <f>"33874"</f>
        <v>33874</v>
      </c>
      <c r="C4532" s="1" t="str">
        <f>"SALFORDVILLE"</f>
        <v>SALFORDVILLE</v>
      </c>
      <c r="D4532" s="1" t="str">
        <f>"PA"</f>
        <v>PA</v>
      </c>
      <c r="E4532" s="2">
        <v>0</v>
      </c>
      <c r="F4532" s="2">
        <v>0</v>
      </c>
      <c r="G4532" s="2">
        <v>1</v>
      </c>
      <c r="H4532" s="2">
        <v>1</v>
      </c>
    </row>
    <row r="4533" spans="1:8" x14ac:dyDescent="0.25">
      <c r="A4533" s="1" t="str">
        <f>"01741"</f>
        <v>01741</v>
      </c>
      <c r="B4533" s="1" t="str">
        <f>"15764"</f>
        <v>15764</v>
      </c>
      <c r="C4533" s="1" t="str">
        <f>"CARLISLE"</f>
        <v>CARLISLE</v>
      </c>
      <c r="D4533" s="1" t="str">
        <f t="shared" ref="D4533:D4538" si="341">"MA"</f>
        <v>MA</v>
      </c>
      <c r="E4533" s="2">
        <v>1</v>
      </c>
      <c r="F4533" s="2">
        <v>1</v>
      </c>
      <c r="G4533" s="2">
        <v>1</v>
      </c>
      <c r="H4533" s="2">
        <v>1</v>
      </c>
    </row>
    <row r="4534" spans="1:8" x14ac:dyDescent="0.25">
      <c r="A4534" s="1" t="str">
        <f>"01826"</f>
        <v>01826</v>
      </c>
      <c r="B4534" s="1" t="str">
        <f>"15764"</f>
        <v>15764</v>
      </c>
      <c r="C4534" s="1" t="str">
        <f>"DRACUT"</f>
        <v>DRACUT</v>
      </c>
      <c r="D4534" s="1" t="str">
        <f t="shared" si="341"/>
        <v>MA</v>
      </c>
      <c r="E4534" s="2">
        <v>1</v>
      </c>
      <c r="F4534" s="2">
        <v>1</v>
      </c>
      <c r="G4534" s="2">
        <v>1</v>
      </c>
      <c r="H4534" s="2">
        <v>1</v>
      </c>
    </row>
    <row r="4535" spans="1:8" x14ac:dyDescent="0.25">
      <c r="A4535" s="1" t="str">
        <f>"01832"</f>
        <v>01832</v>
      </c>
      <c r="B4535" s="1" t="str">
        <f>"15764"</f>
        <v>15764</v>
      </c>
      <c r="C4535" s="1" t="str">
        <f>"HAVERHILL"</f>
        <v>HAVERHILL</v>
      </c>
      <c r="D4535" s="1" t="str">
        <f t="shared" si="341"/>
        <v>MA</v>
      </c>
      <c r="E4535" s="2">
        <v>1</v>
      </c>
      <c r="F4535" s="2">
        <v>1</v>
      </c>
      <c r="G4535" s="2">
        <v>1</v>
      </c>
      <c r="H4535" s="2">
        <v>1</v>
      </c>
    </row>
    <row r="4536" spans="1:8" x14ac:dyDescent="0.25">
      <c r="A4536" s="1" t="str">
        <f>"01904"</f>
        <v>01904</v>
      </c>
      <c r="B4536" s="1" t="str">
        <f>"15764"</f>
        <v>15764</v>
      </c>
      <c r="C4536" s="1" t="str">
        <f>"LYNN"</f>
        <v>LYNN</v>
      </c>
      <c r="D4536" s="1" t="str">
        <f t="shared" si="341"/>
        <v>MA</v>
      </c>
      <c r="E4536" s="2">
        <v>1</v>
      </c>
      <c r="F4536" s="2">
        <v>1</v>
      </c>
      <c r="G4536" s="2">
        <v>1</v>
      </c>
      <c r="H4536" s="2">
        <v>1</v>
      </c>
    </row>
    <row r="4537" spans="1:8" x14ac:dyDescent="0.25">
      <c r="A4537" s="1" t="str">
        <f>"01921"</f>
        <v>01921</v>
      </c>
      <c r="B4537" s="1" t="str">
        <f>"15764"</f>
        <v>15764</v>
      </c>
      <c r="C4537" s="1" t="str">
        <f>"BOXFORD"</f>
        <v>BOXFORD</v>
      </c>
      <c r="D4537" s="1" t="str">
        <f t="shared" si="341"/>
        <v>MA</v>
      </c>
      <c r="E4537" s="2">
        <v>1</v>
      </c>
      <c r="F4537" s="2">
        <v>1</v>
      </c>
      <c r="G4537" s="2">
        <v>1</v>
      </c>
      <c r="H4537" s="2">
        <v>1</v>
      </c>
    </row>
    <row r="4538" spans="1:8" x14ac:dyDescent="0.25">
      <c r="A4538" s="1" t="str">
        <f>"02116"</f>
        <v>02116</v>
      </c>
      <c r="B4538" s="1" t="str">
        <f>"14454"</f>
        <v>14454</v>
      </c>
      <c r="C4538" s="1" t="str">
        <f>"BOSTON"</f>
        <v>BOSTON</v>
      </c>
      <c r="D4538" s="1" t="str">
        <f t="shared" si="341"/>
        <v>MA</v>
      </c>
      <c r="E4538" s="2">
        <v>1</v>
      </c>
      <c r="F4538" s="2">
        <v>1</v>
      </c>
      <c r="G4538" s="2">
        <v>1</v>
      </c>
      <c r="H4538" s="2">
        <v>1</v>
      </c>
    </row>
    <row r="4539" spans="1:8" x14ac:dyDescent="0.25">
      <c r="A4539" s="1" t="str">
        <f>"03841"</f>
        <v>03841</v>
      </c>
      <c r="B4539" s="1" t="str">
        <f>"40484"</f>
        <v>40484</v>
      </c>
      <c r="C4539" s="1" t="str">
        <f>"HAMPSTEAD"</f>
        <v>HAMPSTEAD</v>
      </c>
      <c r="D4539" s="1" t="str">
        <f>"NH"</f>
        <v>NH</v>
      </c>
      <c r="E4539" s="2">
        <v>1</v>
      </c>
      <c r="F4539" s="2">
        <v>1</v>
      </c>
      <c r="G4539" s="2">
        <v>1</v>
      </c>
      <c r="H4539" s="2">
        <v>1</v>
      </c>
    </row>
    <row r="4540" spans="1:8" x14ac:dyDescent="0.25">
      <c r="A4540" s="1" t="str">
        <f>"03867"</f>
        <v>03867</v>
      </c>
      <c r="B4540" s="1" t="str">
        <f>"40484"</f>
        <v>40484</v>
      </c>
      <c r="C4540" s="1" t="str">
        <f>"ROCHESTER"</f>
        <v>ROCHESTER</v>
      </c>
      <c r="D4540" s="1" t="str">
        <f>"NH"</f>
        <v>NH</v>
      </c>
      <c r="E4540" s="2">
        <v>1</v>
      </c>
      <c r="F4540" s="2">
        <v>1</v>
      </c>
      <c r="G4540" s="2">
        <v>1</v>
      </c>
      <c r="H4540" s="2">
        <v>1</v>
      </c>
    </row>
    <row r="4541" spans="1:8" x14ac:dyDescent="0.25">
      <c r="A4541" s="1" t="str">
        <f>"07306"</f>
        <v>07306</v>
      </c>
      <c r="B4541" s="1" t="str">
        <f>"35614"</f>
        <v>35614</v>
      </c>
      <c r="C4541" s="1" t="str">
        <f>"JERSEY CITY"</f>
        <v>JERSEY CITY</v>
      </c>
      <c r="D4541" s="1" t="str">
        <f t="shared" ref="D4541:D4555" si="342">"NJ"</f>
        <v>NJ</v>
      </c>
      <c r="E4541" s="2">
        <v>1</v>
      </c>
      <c r="F4541" s="2">
        <v>1</v>
      </c>
      <c r="G4541" s="2">
        <v>1</v>
      </c>
      <c r="H4541" s="2">
        <v>1</v>
      </c>
    </row>
    <row r="4542" spans="1:8" x14ac:dyDescent="0.25">
      <c r="A4542" s="1" t="str">
        <f>"07446"</f>
        <v>07446</v>
      </c>
      <c r="B4542" s="1" t="str">
        <f>"35614"</f>
        <v>35614</v>
      </c>
      <c r="C4542" s="1" t="str">
        <f>"RAMSEY"</f>
        <v>RAMSEY</v>
      </c>
      <c r="D4542" s="1" t="str">
        <f t="shared" si="342"/>
        <v>NJ</v>
      </c>
      <c r="E4542" s="2">
        <v>1</v>
      </c>
      <c r="F4542" s="2">
        <v>1</v>
      </c>
      <c r="G4542" s="2">
        <v>1</v>
      </c>
      <c r="H4542" s="2">
        <v>1</v>
      </c>
    </row>
    <row r="4543" spans="1:8" x14ac:dyDescent="0.25">
      <c r="A4543" s="1" t="str">
        <f>"07874"</f>
        <v>07874</v>
      </c>
      <c r="B4543" s="1" t="str">
        <f>"35084"</f>
        <v>35084</v>
      </c>
      <c r="C4543" s="1" t="str">
        <f>"STANHOPE"</f>
        <v>STANHOPE</v>
      </c>
      <c r="D4543" s="1" t="str">
        <f t="shared" si="342"/>
        <v>NJ</v>
      </c>
      <c r="E4543" s="2">
        <v>1</v>
      </c>
      <c r="F4543" s="2">
        <v>1</v>
      </c>
      <c r="G4543" s="2">
        <v>1</v>
      </c>
      <c r="H4543" s="2">
        <v>1</v>
      </c>
    </row>
    <row r="4544" spans="1:8" x14ac:dyDescent="0.25">
      <c r="A4544" s="1" t="str">
        <f>"07980"</f>
        <v>07980</v>
      </c>
      <c r="B4544" s="1" t="str">
        <f>"35084"</f>
        <v>35084</v>
      </c>
      <c r="C4544" s="1" t="str">
        <f>"STIRLING"</f>
        <v>STIRLING</v>
      </c>
      <c r="D4544" s="1" t="str">
        <f t="shared" si="342"/>
        <v>NJ</v>
      </c>
      <c r="E4544" s="2">
        <v>1</v>
      </c>
      <c r="F4544" s="2">
        <v>1</v>
      </c>
      <c r="G4544" s="2">
        <v>1</v>
      </c>
      <c r="H4544" s="2">
        <v>1</v>
      </c>
    </row>
    <row r="4545" spans="1:8" x14ac:dyDescent="0.25">
      <c r="A4545" s="1" t="str">
        <f>"08008"</f>
        <v>08008</v>
      </c>
      <c r="B4545" s="1" t="str">
        <f>"35154"</f>
        <v>35154</v>
      </c>
      <c r="C4545" s="1" t="str">
        <f>"BEACH HAVEN"</f>
        <v>BEACH HAVEN</v>
      </c>
      <c r="D4545" s="1" t="str">
        <f t="shared" si="342"/>
        <v>NJ</v>
      </c>
      <c r="E4545" s="2">
        <v>1</v>
      </c>
      <c r="F4545" s="2">
        <v>1</v>
      </c>
      <c r="G4545" s="2">
        <v>1</v>
      </c>
      <c r="H4545" s="2">
        <v>1</v>
      </c>
    </row>
    <row r="4546" spans="1:8" x14ac:dyDescent="0.25">
      <c r="A4546" s="1" t="str">
        <f>"08085"</f>
        <v>08085</v>
      </c>
      <c r="B4546" s="1" t="str">
        <f>"15804"</f>
        <v>15804</v>
      </c>
      <c r="C4546" s="1" t="str">
        <f>"SWEDESBORO"</f>
        <v>SWEDESBORO</v>
      </c>
      <c r="D4546" s="1" t="str">
        <f t="shared" si="342"/>
        <v>NJ</v>
      </c>
      <c r="E4546" s="2">
        <v>0.99522200209765699</v>
      </c>
      <c r="F4546" s="2">
        <v>0.99888641425389701</v>
      </c>
      <c r="G4546" s="2">
        <v>1</v>
      </c>
      <c r="H4546" s="2">
        <v>0.99563500311785402</v>
      </c>
    </row>
    <row r="4547" spans="1:8" x14ac:dyDescent="0.25">
      <c r="A4547" s="1" t="str">
        <f>"08085"</f>
        <v>08085</v>
      </c>
      <c r="B4547" s="1" t="str">
        <f>"48864"</f>
        <v>48864</v>
      </c>
      <c r="C4547" s="1" t="str">
        <f>"SWEDESBORO"</f>
        <v>SWEDESBORO</v>
      </c>
      <c r="D4547" s="1" t="str">
        <f t="shared" si="342"/>
        <v>NJ</v>
      </c>
      <c r="E4547" s="2">
        <v>4.7779979023423796E-3</v>
      </c>
      <c r="F4547" s="2">
        <v>1.1135857461024401E-3</v>
      </c>
      <c r="G4547" s="2">
        <v>0</v>
      </c>
      <c r="H4547" s="2">
        <v>4.3649968821450804E-3</v>
      </c>
    </row>
    <row r="4548" spans="1:8" x14ac:dyDescent="0.25">
      <c r="A4548" s="1" t="str">
        <f>"08501"</f>
        <v>08501</v>
      </c>
      <c r="B4548" s="1" t="str">
        <f>"15804"</f>
        <v>15804</v>
      </c>
      <c r="C4548" s="1" t="str">
        <f>"ALLENTOWN"</f>
        <v>ALLENTOWN</v>
      </c>
      <c r="D4548" s="1" t="str">
        <f t="shared" si="342"/>
        <v>NJ</v>
      </c>
      <c r="E4548" s="2">
        <v>5.40050743022834E-2</v>
      </c>
      <c r="F4548" s="2">
        <v>4.2735042735042696E-3</v>
      </c>
      <c r="G4548" s="2">
        <v>0</v>
      </c>
      <c r="H4548" s="2">
        <v>4.9570389953734299E-2</v>
      </c>
    </row>
    <row r="4549" spans="1:8" x14ac:dyDescent="0.25">
      <c r="A4549" s="1" t="str">
        <f>"08501"</f>
        <v>08501</v>
      </c>
      <c r="B4549" s="1" t="str">
        <f>"35154"</f>
        <v>35154</v>
      </c>
      <c r="C4549" s="1" t="str">
        <f>"ALLENTOWN"</f>
        <v>ALLENTOWN</v>
      </c>
      <c r="D4549" s="1" t="str">
        <f t="shared" si="342"/>
        <v>NJ</v>
      </c>
      <c r="E4549" s="2">
        <v>0.94599492569771604</v>
      </c>
      <c r="F4549" s="2">
        <v>0.99572649572649496</v>
      </c>
      <c r="G4549" s="2">
        <v>1</v>
      </c>
      <c r="H4549" s="2">
        <v>0.95042961004626503</v>
      </c>
    </row>
    <row r="4550" spans="1:8" x14ac:dyDescent="0.25">
      <c r="A4550" s="1" t="str">
        <f>"08533"</f>
        <v>08533</v>
      </c>
      <c r="B4550" s="1" t="str">
        <f>"15804"</f>
        <v>15804</v>
      </c>
      <c r="C4550" s="1" t="str">
        <f>"NEW EGYPT"</f>
        <v>NEW EGYPT</v>
      </c>
      <c r="D4550" s="1" t="str">
        <f t="shared" si="342"/>
        <v>NJ</v>
      </c>
      <c r="E4550" s="2">
        <v>3.9711191335740003E-3</v>
      </c>
      <c r="F4550" s="2">
        <v>0</v>
      </c>
      <c r="G4550" s="2">
        <v>0</v>
      </c>
      <c r="H4550" s="2">
        <v>3.76325692781388E-3</v>
      </c>
    </row>
    <row r="4551" spans="1:8" x14ac:dyDescent="0.25">
      <c r="A4551" s="1" t="str">
        <f>"08533"</f>
        <v>08533</v>
      </c>
      <c r="B4551" s="1" t="str">
        <f>"35154"</f>
        <v>35154</v>
      </c>
      <c r="C4551" s="1" t="str">
        <f>"NEW EGYPT"</f>
        <v>NEW EGYPT</v>
      </c>
      <c r="D4551" s="1" t="str">
        <f t="shared" si="342"/>
        <v>NJ</v>
      </c>
      <c r="E4551" s="2">
        <v>0.99602888086642505</v>
      </c>
      <c r="F4551" s="2">
        <v>1</v>
      </c>
      <c r="G4551" s="2">
        <v>1</v>
      </c>
      <c r="H4551" s="2">
        <v>0.99623674307218602</v>
      </c>
    </row>
    <row r="4552" spans="1:8" x14ac:dyDescent="0.25">
      <c r="A4552" s="1" t="str">
        <f>"08518"</f>
        <v>08518</v>
      </c>
      <c r="B4552" s="1" t="str">
        <f>"15804"</f>
        <v>15804</v>
      </c>
      <c r="C4552" s="1" t="str">
        <f>"FLORENCE"</f>
        <v>FLORENCE</v>
      </c>
      <c r="D4552" s="1" t="str">
        <f t="shared" si="342"/>
        <v>NJ</v>
      </c>
      <c r="E4552" s="2">
        <v>1</v>
      </c>
      <c r="F4552" s="2">
        <v>1</v>
      </c>
      <c r="G4552" s="2">
        <v>1</v>
      </c>
      <c r="H4552" s="2">
        <v>1</v>
      </c>
    </row>
    <row r="4553" spans="1:8" x14ac:dyDescent="0.25">
      <c r="A4553" s="1" t="str">
        <f>"08720"</f>
        <v>08720</v>
      </c>
      <c r="B4553" s="1" t="str">
        <f>"35154"</f>
        <v>35154</v>
      </c>
      <c r="C4553" s="1" t="str">
        <f>"ALLENWOOD"</f>
        <v>ALLENWOOD</v>
      </c>
      <c r="D4553" s="1" t="str">
        <f t="shared" si="342"/>
        <v>NJ</v>
      </c>
      <c r="E4553" s="2">
        <v>1</v>
      </c>
      <c r="F4553" s="2">
        <v>1</v>
      </c>
      <c r="G4553" s="2">
        <v>1</v>
      </c>
      <c r="H4553" s="2">
        <v>1</v>
      </c>
    </row>
    <row r="4554" spans="1:8" x14ac:dyDescent="0.25">
      <c r="A4554" s="1" t="str">
        <f>"08867"</f>
        <v>08867</v>
      </c>
      <c r="B4554" s="1" t="str">
        <f>"35084"</f>
        <v>35084</v>
      </c>
      <c r="C4554" s="1" t="str">
        <f>"PITTSTOWN"</f>
        <v>PITTSTOWN</v>
      </c>
      <c r="D4554" s="1" t="str">
        <f t="shared" si="342"/>
        <v>NJ</v>
      </c>
      <c r="E4554" s="2">
        <v>1</v>
      </c>
      <c r="F4554" s="2">
        <v>1</v>
      </c>
      <c r="G4554" s="2">
        <v>1</v>
      </c>
      <c r="H4554" s="2">
        <v>1</v>
      </c>
    </row>
    <row r="4555" spans="1:8" x14ac:dyDescent="0.25">
      <c r="A4555" s="1" t="str">
        <f>"08859"</f>
        <v>08859</v>
      </c>
      <c r="B4555" s="1" t="str">
        <f>"35154"</f>
        <v>35154</v>
      </c>
      <c r="C4555" s="1" t="str">
        <f>"PARLIN"</f>
        <v>PARLIN</v>
      </c>
      <c r="D4555" s="1" t="str">
        <f t="shared" si="342"/>
        <v>NJ</v>
      </c>
      <c r="E4555" s="2">
        <v>1</v>
      </c>
      <c r="F4555" s="2">
        <v>1</v>
      </c>
      <c r="G4555" s="2">
        <v>1</v>
      </c>
      <c r="H4555" s="2">
        <v>1</v>
      </c>
    </row>
    <row r="4556" spans="1:8" x14ac:dyDescent="0.25">
      <c r="A4556" s="1" t="str">
        <f>"10025"</f>
        <v>10025</v>
      </c>
      <c r="B4556" s="1" t="str">
        <f>"35614"</f>
        <v>35614</v>
      </c>
      <c r="C4556" s="1" t="str">
        <f>"NEW YORK"</f>
        <v>NEW YORK</v>
      </c>
      <c r="D4556" s="1" t="str">
        <f t="shared" ref="D4556:D4568" si="343">"NY"</f>
        <v>NY</v>
      </c>
      <c r="E4556" s="2">
        <v>1</v>
      </c>
      <c r="F4556" s="2">
        <v>1</v>
      </c>
      <c r="G4556" s="2">
        <v>1</v>
      </c>
      <c r="H4556" s="2">
        <v>1</v>
      </c>
    </row>
    <row r="4557" spans="1:8" x14ac:dyDescent="0.25">
      <c r="A4557" s="1" t="str">
        <f>"10465"</f>
        <v>10465</v>
      </c>
      <c r="B4557" s="1" t="str">
        <f>"35614"</f>
        <v>35614</v>
      </c>
      <c r="C4557" s="1" t="str">
        <f>"BRONX"</f>
        <v>BRONX</v>
      </c>
      <c r="D4557" s="1" t="str">
        <f t="shared" si="343"/>
        <v>NY</v>
      </c>
      <c r="E4557" s="2">
        <v>1</v>
      </c>
      <c r="F4557" s="2">
        <v>1</v>
      </c>
      <c r="G4557" s="2">
        <v>1</v>
      </c>
      <c r="H4557" s="2">
        <v>1</v>
      </c>
    </row>
    <row r="4558" spans="1:8" x14ac:dyDescent="0.25">
      <c r="A4558" s="1" t="str">
        <f>"11204"</f>
        <v>11204</v>
      </c>
      <c r="B4558" s="1" t="str">
        <f>"35614"</f>
        <v>35614</v>
      </c>
      <c r="C4558" s="1" t="str">
        <f>"BROOKLYN"</f>
        <v>BROOKLYN</v>
      </c>
      <c r="D4558" s="1" t="str">
        <f t="shared" si="343"/>
        <v>NY</v>
      </c>
      <c r="E4558" s="2">
        <v>1</v>
      </c>
      <c r="F4558" s="2">
        <v>1</v>
      </c>
      <c r="G4558" s="2">
        <v>1</v>
      </c>
      <c r="H4558" s="2">
        <v>1</v>
      </c>
    </row>
    <row r="4559" spans="1:8" x14ac:dyDescent="0.25">
      <c r="A4559" s="1" t="str">
        <f>"11208"</f>
        <v>11208</v>
      </c>
      <c r="B4559" s="1" t="str">
        <f>"35614"</f>
        <v>35614</v>
      </c>
      <c r="C4559" s="1" t="str">
        <f>"BROOKLYN"</f>
        <v>BROOKLYN</v>
      </c>
      <c r="D4559" s="1" t="str">
        <f t="shared" si="343"/>
        <v>NY</v>
      </c>
      <c r="E4559" s="2">
        <v>1</v>
      </c>
      <c r="F4559" s="2">
        <v>1</v>
      </c>
      <c r="G4559" s="2">
        <v>1</v>
      </c>
      <c r="H4559" s="2">
        <v>1</v>
      </c>
    </row>
    <row r="4560" spans="1:8" x14ac:dyDescent="0.25">
      <c r="A4560" s="1" t="str">
        <f>"11002"</f>
        <v>11002</v>
      </c>
      <c r="B4560" s="1" t="str">
        <f>"35004"</f>
        <v>35004</v>
      </c>
      <c r="C4560" s="1" t="str">
        <f>"FLORAL PARK"</f>
        <v>FLORAL PARK</v>
      </c>
      <c r="D4560" s="1" t="str">
        <f t="shared" si="343"/>
        <v>NY</v>
      </c>
      <c r="E4560" s="2">
        <v>1</v>
      </c>
      <c r="F4560" s="2">
        <v>1</v>
      </c>
      <c r="G4560" s="2">
        <v>1</v>
      </c>
      <c r="H4560" s="2">
        <v>1</v>
      </c>
    </row>
    <row r="4561" spans="1:8" x14ac:dyDescent="0.25">
      <c r="A4561" s="1" t="str">
        <f>"11362"</f>
        <v>11362</v>
      </c>
      <c r="B4561" s="1" t="str">
        <f>"35614"</f>
        <v>35614</v>
      </c>
      <c r="C4561" s="1" t="str">
        <f>"LITTLE NECK"</f>
        <v>LITTLE NECK</v>
      </c>
      <c r="D4561" s="1" t="str">
        <f t="shared" si="343"/>
        <v>NY</v>
      </c>
      <c r="E4561" s="2">
        <v>1</v>
      </c>
      <c r="F4561" s="2">
        <v>1</v>
      </c>
      <c r="G4561" s="2">
        <v>1</v>
      </c>
      <c r="H4561" s="2">
        <v>1</v>
      </c>
    </row>
    <row r="4562" spans="1:8" x14ac:dyDescent="0.25">
      <c r="A4562" s="1" t="str">
        <f>"11355"</f>
        <v>11355</v>
      </c>
      <c r="B4562" s="1" t="str">
        <f>"35614"</f>
        <v>35614</v>
      </c>
      <c r="C4562" s="1" t="str">
        <f>"FLUSHING"</f>
        <v>FLUSHING</v>
      </c>
      <c r="D4562" s="1" t="str">
        <f t="shared" si="343"/>
        <v>NY</v>
      </c>
      <c r="E4562" s="2">
        <v>1</v>
      </c>
      <c r="F4562" s="2">
        <v>1</v>
      </c>
      <c r="G4562" s="2">
        <v>1</v>
      </c>
      <c r="H4562" s="2">
        <v>1</v>
      </c>
    </row>
    <row r="4563" spans="1:8" x14ac:dyDescent="0.25">
      <c r="A4563" s="1" t="str">
        <f>"11778"</f>
        <v>11778</v>
      </c>
      <c r="B4563" s="1" t="str">
        <f>"35004"</f>
        <v>35004</v>
      </c>
      <c r="C4563" s="1" t="str">
        <f>"ROCKY POINT"</f>
        <v>ROCKY POINT</v>
      </c>
      <c r="D4563" s="1" t="str">
        <f t="shared" si="343"/>
        <v>NY</v>
      </c>
      <c r="E4563" s="2">
        <v>1</v>
      </c>
      <c r="F4563" s="2">
        <v>1</v>
      </c>
      <c r="G4563" s="2">
        <v>1</v>
      </c>
      <c r="H4563" s="2">
        <v>1</v>
      </c>
    </row>
    <row r="4564" spans="1:8" x14ac:dyDescent="0.25">
      <c r="A4564" s="1" t="str">
        <f>"11795"</f>
        <v>11795</v>
      </c>
      <c r="B4564" s="1" t="str">
        <f>"35004"</f>
        <v>35004</v>
      </c>
      <c r="C4564" s="1" t="str">
        <f>"WEST ISLIP"</f>
        <v>WEST ISLIP</v>
      </c>
      <c r="D4564" s="1" t="str">
        <f t="shared" si="343"/>
        <v>NY</v>
      </c>
      <c r="E4564" s="2">
        <v>1</v>
      </c>
      <c r="F4564" s="2">
        <v>1</v>
      </c>
      <c r="G4564" s="2">
        <v>1</v>
      </c>
      <c r="H4564" s="2">
        <v>1</v>
      </c>
    </row>
    <row r="4565" spans="1:8" x14ac:dyDescent="0.25">
      <c r="A4565" s="1" t="str">
        <f>"11980"</f>
        <v>11980</v>
      </c>
      <c r="B4565" s="1" t="str">
        <f>"35004"</f>
        <v>35004</v>
      </c>
      <c r="C4565" s="1" t="str">
        <f>"YAPHANK"</f>
        <v>YAPHANK</v>
      </c>
      <c r="D4565" s="1" t="str">
        <f t="shared" si="343"/>
        <v>NY</v>
      </c>
      <c r="E4565" s="2">
        <v>1</v>
      </c>
      <c r="F4565" s="2">
        <v>1</v>
      </c>
      <c r="G4565" s="2">
        <v>1</v>
      </c>
      <c r="H4565" s="2">
        <v>1</v>
      </c>
    </row>
    <row r="4566" spans="1:8" x14ac:dyDescent="0.25">
      <c r="A4566" s="1" t="str">
        <f>"11978"</f>
        <v>11978</v>
      </c>
      <c r="B4566" s="1" t="str">
        <f>"35004"</f>
        <v>35004</v>
      </c>
      <c r="C4566" s="1" t="str">
        <f>"WESTHAMPTON BEACH"</f>
        <v>WESTHAMPTON BEACH</v>
      </c>
      <c r="D4566" s="1" t="str">
        <f t="shared" si="343"/>
        <v>NY</v>
      </c>
      <c r="E4566" s="2">
        <v>1</v>
      </c>
      <c r="F4566" s="2">
        <v>1</v>
      </c>
      <c r="G4566" s="2">
        <v>1</v>
      </c>
      <c r="H4566" s="2">
        <v>1</v>
      </c>
    </row>
    <row r="4567" spans="1:8" x14ac:dyDescent="0.25">
      <c r="A4567" s="1" t="str">
        <f>"10570"</f>
        <v>10570</v>
      </c>
      <c r="B4567" s="1" t="str">
        <f>"35614"</f>
        <v>35614</v>
      </c>
      <c r="C4567" s="1" t="str">
        <f>"PLEASANTVILLE"</f>
        <v>PLEASANTVILLE</v>
      </c>
      <c r="D4567" s="1" t="str">
        <f t="shared" si="343"/>
        <v>NY</v>
      </c>
      <c r="E4567" s="2">
        <v>1</v>
      </c>
      <c r="F4567" s="2">
        <v>1</v>
      </c>
      <c r="G4567" s="2">
        <v>1</v>
      </c>
      <c r="H4567" s="2">
        <v>1</v>
      </c>
    </row>
    <row r="4568" spans="1:8" x14ac:dyDescent="0.25">
      <c r="A4568" s="1" t="str">
        <f>"10705"</f>
        <v>10705</v>
      </c>
      <c r="B4568" s="1" t="str">
        <f>"35614"</f>
        <v>35614</v>
      </c>
      <c r="C4568" s="1" t="str">
        <f>"YONKERS"</f>
        <v>YONKERS</v>
      </c>
      <c r="D4568" s="1" t="str">
        <f t="shared" si="343"/>
        <v>NY</v>
      </c>
      <c r="E4568" s="2">
        <v>1</v>
      </c>
      <c r="F4568" s="2">
        <v>1</v>
      </c>
      <c r="G4568" s="2">
        <v>1</v>
      </c>
      <c r="H4568" s="2">
        <v>1</v>
      </c>
    </row>
    <row r="4569" spans="1:8" x14ac:dyDescent="0.25">
      <c r="A4569" s="1" t="str">
        <f>"18917"</f>
        <v>18917</v>
      </c>
      <c r="B4569" s="1" t="str">
        <f>"33874"</f>
        <v>33874</v>
      </c>
      <c r="C4569" s="1" t="str">
        <f>"DUBLIN"</f>
        <v>DUBLIN</v>
      </c>
      <c r="D4569" s="1" t="str">
        <f t="shared" ref="D4569:D4575" si="344">"PA"</f>
        <v>PA</v>
      </c>
      <c r="E4569" s="2">
        <v>1</v>
      </c>
      <c r="F4569" s="2">
        <v>1</v>
      </c>
      <c r="G4569" s="2">
        <v>1</v>
      </c>
      <c r="H4569" s="2">
        <v>1</v>
      </c>
    </row>
    <row r="4570" spans="1:8" x14ac:dyDescent="0.25">
      <c r="A4570" s="1" t="str">
        <f>"19007"</f>
        <v>19007</v>
      </c>
      <c r="B4570" s="1" t="str">
        <f>"33874"</f>
        <v>33874</v>
      </c>
      <c r="C4570" s="1" t="str">
        <f>"BRISTOL"</f>
        <v>BRISTOL</v>
      </c>
      <c r="D4570" s="1" t="str">
        <f t="shared" si="344"/>
        <v>PA</v>
      </c>
      <c r="E4570" s="2">
        <v>1</v>
      </c>
      <c r="F4570" s="2">
        <v>1</v>
      </c>
      <c r="G4570" s="2">
        <v>1</v>
      </c>
      <c r="H4570" s="2">
        <v>1</v>
      </c>
    </row>
    <row r="4571" spans="1:8" x14ac:dyDescent="0.25">
      <c r="A4571" s="1" t="str">
        <f>"19055"</f>
        <v>19055</v>
      </c>
      <c r="B4571" s="1" t="str">
        <f>"33874"</f>
        <v>33874</v>
      </c>
      <c r="C4571" s="1" t="str">
        <f>"LEVITTOWN"</f>
        <v>LEVITTOWN</v>
      </c>
      <c r="D4571" s="1" t="str">
        <f t="shared" si="344"/>
        <v>PA</v>
      </c>
      <c r="E4571" s="2">
        <v>1</v>
      </c>
      <c r="F4571" s="2">
        <v>1</v>
      </c>
      <c r="G4571" s="2">
        <v>1</v>
      </c>
      <c r="H4571" s="2">
        <v>1</v>
      </c>
    </row>
    <row r="4572" spans="1:8" x14ac:dyDescent="0.25">
      <c r="A4572" s="1" t="str">
        <f>"19116"</f>
        <v>19116</v>
      </c>
      <c r="B4572" s="1" t="str">
        <f>"37964"</f>
        <v>37964</v>
      </c>
      <c r="C4572" s="1" t="str">
        <f>"PHILADELPHIA"</f>
        <v>PHILADELPHIA</v>
      </c>
      <c r="D4572" s="1" t="str">
        <f t="shared" si="344"/>
        <v>PA</v>
      </c>
      <c r="E4572" s="2">
        <v>0.99926556991774296</v>
      </c>
      <c r="F4572" s="2">
        <v>1</v>
      </c>
      <c r="G4572" s="2">
        <v>1</v>
      </c>
      <c r="H4572" s="2">
        <v>0.99932161997150804</v>
      </c>
    </row>
    <row r="4573" spans="1:8" x14ac:dyDescent="0.25">
      <c r="A4573" s="1" t="str">
        <f>"19116"</f>
        <v>19116</v>
      </c>
      <c r="B4573" s="1" t="str">
        <f>"33874"</f>
        <v>33874</v>
      </c>
      <c r="C4573" s="1" t="str">
        <f>"PHILADELPHIA"</f>
        <v>PHILADELPHIA</v>
      </c>
      <c r="D4573" s="1" t="str">
        <f t="shared" si="344"/>
        <v>PA</v>
      </c>
      <c r="E4573" s="2">
        <v>7.34430082256169E-4</v>
      </c>
      <c r="F4573" s="2">
        <v>0</v>
      </c>
      <c r="G4573" s="2">
        <v>0</v>
      </c>
      <c r="H4573" s="2">
        <v>6.7838002849196098E-4</v>
      </c>
    </row>
    <row r="4574" spans="1:8" x14ac:dyDescent="0.25">
      <c r="A4574" s="1" t="str">
        <f>"19149"</f>
        <v>19149</v>
      </c>
      <c r="B4574" s="1" t="str">
        <f>"37964"</f>
        <v>37964</v>
      </c>
      <c r="C4574" s="1" t="str">
        <f>"PHILADELPHIA"</f>
        <v>PHILADELPHIA</v>
      </c>
      <c r="D4574" s="1" t="str">
        <f t="shared" si="344"/>
        <v>PA</v>
      </c>
      <c r="E4574" s="2">
        <v>1</v>
      </c>
      <c r="F4574" s="2">
        <v>1</v>
      </c>
      <c r="G4574" s="2">
        <v>1</v>
      </c>
      <c r="H4574" s="2">
        <v>1</v>
      </c>
    </row>
    <row r="4575" spans="1:8" x14ac:dyDescent="0.25">
      <c r="A4575" s="1" t="str">
        <f>"19520"</f>
        <v>19520</v>
      </c>
      <c r="B4575" s="1" t="str">
        <f>"33874"</f>
        <v>33874</v>
      </c>
      <c r="C4575" s="1" t="str">
        <f>"ELVERSON"</f>
        <v>ELVERSON</v>
      </c>
      <c r="D4575" s="1" t="str">
        <f t="shared" si="344"/>
        <v>PA</v>
      </c>
      <c r="E4575" s="2">
        <v>1</v>
      </c>
      <c r="F4575" s="2">
        <v>1</v>
      </c>
      <c r="G4575" s="2">
        <v>1</v>
      </c>
      <c r="H4575" s="2">
        <v>1</v>
      </c>
    </row>
    <row r="4576" spans="1:8" x14ac:dyDescent="0.25">
      <c r="A4576" s="1" t="str">
        <f>"19809"</f>
        <v>19809</v>
      </c>
      <c r="B4576" s="1" t="str">
        <f>"48864"</f>
        <v>48864</v>
      </c>
      <c r="C4576" s="1" t="str">
        <f>"WILMINGTON"</f>
        <v>WILMINGTON</v>
      </c>
      <c r="D4576" s="1" t="str">
        <f>"DE"</f>
        <v>DE</v>
      </c>
      <c r="E4576" s="2">
        <v>1</v>
      </c>
      <c r="F4576" s="2">
        <v>1</v>
      </c>
      <c r="G4576" s="2">
        <v>1</v>
      </c>
      <c r="H4576" s="2">
        <v>1</v>
      </c>
    </row>
    <row r="4577" spans="1:8" x14ac:dyDescent="0.25">
      <c r="A4577" s="1" t="str">
        <f>"20659"</f>
        <v>20659</v>
      </c>
      <c r="B4577" s="1" t="str">
        <f>"47894"</f>
        <v>47894</v>
      </c>
      <c r="C4577" s="1" t="str">
        <f>"MECHANICSVILLE"</f>
        <v>MECHANICSVILLE</v>
      </c>
      <c r="D4577" s="1" t="str">
        <f>"MD"</f>
        <v>MD</v>
      </c>
      <c r="E4577" s="2">
        <v>1</v>
      </c>
      <c r="F4577" s="2">
        <v>1</v>
      </c>
      <c r="G4577" s="2">
        <v>0</v>
      </c>
      <c r="H4577" s="2">
        <v>1</v>
      </c>
    </row>
    <row r="4578" spans="1:8" x14ac:dyDescent="0.25">
      <c r="A4578" s="1" t="str">
        <f>"20743"</f>
        <v>20743</v>
      </c>
      <c r="B4578" s="1" t="str">
        <f>"47894"</f>
        <v>47894</v>
      </c>
      <c r="C4578" s="1" t="str">
        <f>"CAPITOL HEIGHTS"</f>
        <v>CAPITOL HEIGHTS</v>
      </c>
      <c r="D4578" s="1" t="str">
        <f>"MD"</f>
        <v>MD</v>
      </c>
      <c r="E4578" s="2">
        <v>1</v>
      </c>
      <c r="F4578" s="2">
        <v>1</v>
      </c>
      <c r="G4578" s="2">
        <v>1</v>
      </c>
      <c r="H4578" s="2">
        <v>1</v>
      </c>
    </row>
    <row r="4579" spans="1:8" x14ac:dyDescent="0.25">
      <c r="A4579" s="1" t="str">
        <f>"20817"</f>
        <v>20817</v>
      </c>
      <c r="B4579" s="1" t="str">
        <f>"23224"</f>
        <v>23224</v>
      </c>
      <c r="C4579" s="1" t="str">
        <f>"BETHESDA"</f>
        <v>BETHESDA</v>
      </c>
      <c r="D4579" s="1" t="str">
        <f>"MD"</f>
        <v>MD</v>
      </c>
      <c r="E4579" s="2">
        <v>1</v>
      </c>
      <c r="F4579" s="2">
        <v>1</v>
      </c>
      <c r="G4579" s="2">
        <v>1</v>
      </c>
      <c r="H4579" s="2">
        <v>1</v>
      </c>
    </row>
    <row r="4580" spans="1:8" x14ac:dyDescent="0.25">
      <c r="A4580" s="1" t="str">
        <f>"20855"</f>
        <v>20855</v>
      </c>
      <c r="B4580" s="1" t="str">
        <f>"23224"</f>
        <v>23224</v>
      </c>
      <c r="C4580" s="1" t="str">
        <f>"DERWOOD"</f>
        <v>DERWOOD</v>
      </c>
      <c r="D4580" s="1" t="str">
        <f>"MD"</f>
        <v>MD</v>
      </c>
      <c r="E4580" s="2">
        <v>1</v>
      </c>
      <c r="F4580" s="2">
        <v>1</v>
      </c>
      <c r="G4580" s="2">
        <v>1</v>
      </c>
      <c r="H4580" s="2">
        <v>1</v>
      </c>
    </row>
    <row r="4581" spans="1:8" x14ac:dyDescent="0.25">
      <c r="A4581" s="1" t="str">
        <f>"20884"</f>
        <v>20884</v>
      </c>
      <c r="B4581" s="1" t="str">
        <f>"23224"</f>
        <v>23224</v>
      </c>
      <c r="C4581" s="1" t="str">
        <f>"GAITHERSBURG"</f>
        <v>GAITHERSBURG</v>
      </c>
      <c r="D4581" s="1" t="str">
        <f>"MD"</f>
        <v>MD</v>
      </c>
      <c r="E4581" s="2">
        <v>1</v>
      </c>
      <c r="F4581" s="2">
        <v>1</v>
      </c>
      <c r="G4581" s="2">
        <v>1</v>
      </c>
      <c r="H4581" s="2">
        <v>1</v>
      </c>
    </row>
    <row r="4582" spans="1:8" x14ac:dyDescent="0.25">
      <c r="A4582" s="1" t="str">
        <f>"20164"</f>
        <v>20164</v>
      </c>
      <c r="B4582" s="1" t="str">
        <f t="shared" ref="B4582:B4591" si="345">"47894"</f>
        <v>47894</v>
      </c>
      <c r="C4582" s="1" t="str">
        <f>"STERLING"</f>
        <v>STERLING</v>
      </c>
      <c r="D4582" s="1" t="str">
        <f t="shared" ref="D4582:D4591" si="346">"VA"</f>
        <v>VA</v>
      </c>
      <c r="E4582" s="2">
        <v>1</v>
      </c>
      <c r="F4582" s="2">
        <v>1</v>
      </c>
      <c r="G4582" s="2">
        <v>1</v>
      </c>
      <c r="H4582" s="2">
        <v>1</v>
      </c>
    </row>
    <row r="4583" spans="1:8" x14ac:dyDescent="0.25">
      <c r="A4583" s="1" t="str">
        <f>"20148"</f>
        <v>20148</v>
      </c>
      <c r="B4583" s="1" t="str">
        <f t="shared" si="345"/>
        <v>47894</v>
      </c>
      <c r="C4583" s="1" t="str">
        <f>"ASHBURN"</f>
        <v>ASHBURN</v>
      </c>
      <c r="D4583" s="1" t="str">
        <f t="shared" si="346"/>
        <v>VA</v>
      </c>
      <c r="E4583" s="2">
        <v>1</v>
      </c>
      <c r="F4583" s="2">
        <v>1</v>
      </c>
      <c r="G4583" s="2">
        <v>1</v>
      </c>
      <c r="H4583" s="2">
        <v>1</v>
      </c>
    </row>
    <row r="4584" spans="1:8" x14ac:dyDescent="0.25">
      <c r="A4584" s="1" t="str">
        <f>"20181"</f>
        <v>20181</v>
      </c>
      <c r="B4584" s="1" t="str">
        <f t="shared" si="345"/>
        <v>47894</v>
      </c>
      <c r="C4584" s="1" t="str">
        <f>"NOKESVILLE"</f>
        <v>NOKESVILLE</v>
      </c>
      <c r="D4584" s="1" t="str">
        <f t="shared" si="346"/>
        <v>VA</v>
      </c>
      <c r="E4584" s="2">
        <v>1</v>
      </c>
      <c r="F4584" s="2">
        <v>1</v>
      </c>
      <c r="G4584" s="2">
        <v>1</v>
      </c>
      <c r="H4584" s="2">
        <v>1</v>
      </c>
    </row>
    <row r="4585" spans="1:8" x14ac:dyDescent="0.25">
      <c r="A4585" s="1" t="str">
        <f>"22030"</f>
        <v>22030</v>
      </c>
      <c r="B4585" s="1" t="str">
        <f t="shared" si="345"/>
        <v>47894</v>
      </c>
      <c r="C4585" s="1" t="str">
        <f>"FAIRFAX"</f>
        <v>FAIRFAX</v>
      </c>
      <c r="D4585" s="1" t="str">
        <f t="shared" si="346"/>
        <v>VA</v>
      </c>
      <c r="E4585" s="2">
        <v>1</v>
      </c>
      <c r="F4585" s="2">
        <v>1</v>
      </c>
      <c r="G4585" s="2">
        <v>1</v>
      </c>
      <c r="H4585" s="2">
        <v>1</v>
      </c>
    </row>
    <row r="4586" spans="1:8" x14ac:dyDescent="0.25">
      <c r="A4586" s="1" t="str">
        <f>"22151"</f>
        <v>22151</v>
      </c>
      <c r="B4586" s="1" t="str">
        <f t="shared" si="345"/>
        <v>47894</v>
      </c>
      <c r="C4586" s="1" t="str">
        <f>"SPRINGFIELD"</f>
        <v>SPRINGFIELD</v>
      </c>
      <c r="D4586" s="1" t="str">
        <f t="shared" si="346"/>
        <v>VA</v>
      </c>
      <c r="E4586" s="2">
        <v>1</v>
      </c>
      <c r="F4586" s="2">
        <v>1</v>
      </c>
      <c r="G4586" s="2">
        <v>1</v>
      </c>
      <c r="H4586" s="2">
        <v>1</v>
      </c>
    </row>
    <row r="4587" spans="1:8" x14ac:dyDescent="0.25">
      <c r="A4587" s="1" t="str">
        <f>"22213"</f>
        <v>22213</v>
      </c>
      <c r="B4587" s="1" t="str">
        <f t="shared" si="345"/>
        <v>47894</v>
      </c>
      <c r="C4587" s="1" t="str">
        <f>"ARLINGTON"</f>
        <v>ARLINGTON</v>
      </c>
      <c r="D4587" s="1" t="str">
        <f t="shared" si="346"/>
        <v>VA</v>
      </c>
      <c r="E4587" s="2">
        <v>1</v>
      </c>
      <c r="F4587" s="2">
        <v>1</v>
      </c>
      <c r="G4587" s="2">
        <v>1</v>
      </c>
      <c r="H4587" s="2">
        <v>1</v>
      </c>
    </row>
    <row r="4588" spans="1:8" x14ac:dyDescent="0.25">
      <c r="A4588" s="1" t="str">
        <f>"22315"</f>
        <v>22315</v>
      </c>
      <c r="B4588" s="1" t="str">
        <f t="shared" si="345"/>
        <v>47894</v>
      </c>
      <c r="C4588" s="1" t="str">
        <f>"ALEXANDRIA"</f>
        <v>ALEXANDRIA</v>
      </c>
      <c r="D4588" s="1" t="str">
        <f t="shared" si="346"/>
        <v>VA</v>
      </c>
      <c r="E4588" s="2">
        <v>1</v>
      </c>
      <c r="F4588" s="2">
        <v>1</v>
      </c>
      <c r="G4588" s="2">
        <v>1</v>
      </c>
      <c r="H4588" s="2">
        <v>1</v>
      </c>
    </row>
    <row r="4589" spans="1:8" x14ac:dyDescent="0.25">
      <c r="A4589" s="1" t="str">
        <f>"22611"</f>
        <v>22611</v>
      </c>
      <c r="B4589" s="1" t="str">
        <f t="shared" si="345"/>
        <v>47894</v>
      </c>
      <c r="C4589" s="1" t="str">
        <f>"BERRYVILLE"</f>
        <v>BERRYVILLE</v>
      </c>
      <c r="D4589" s="1" t="str">
        <f t="shared" si="346"/>
        <v>VA</v>
      </c>
      <c r="E4589" s="2">
        <v>1</v>
      </c>
      <c r="F4589" s="2">
        <v>1</v>
      </c>
      <c r="G4589" s="2">
        <v>1</v>
      </c>
      <c r="H4589" s="2">
        <v>1</v>
      </c>
    </row>
    <row r="4590" spans="1:8" x14ac:dyDescent="0.25">
      <c r="A4590" s="1" t="str">
        <f>"22627"</f>
        <v>22627</v>
      </c>
      <c r="B4590" s="1" t="str">
        <f t="shared" si="345"/>
        <v>47894</v>
      </c>
      <c r="C4590" s="1" t="str">
        <f>"FLINT HILL"</f>
        <v>FLINT HILL</v>
      </c>
      <c r="D4590" s="1" t="str">
        <f t="shared" si="346"/>
        <v>VA</v>
      </c>
      <c r="E4590" s="2">
        <v>1</v>
      </c>
      <c r="F4590" s="2">
        <v>1</v>
      </c>
      <c r="G4590" s="2">
        <v>1</v>
      </c>
      <c r="H4590" s="2">
        <v>1</v>
      </c>
    </row>
    <row r="4591" spans="1:8" x14ac:dyDescent="0.25">
      <c r="A4591" s="1" t="str">
        <f>"22738"</f>
        <v>22738</v>
      </c>
      <c r="B4591" s="1" t="str">
        <f t="shared" si="345"/>
        <v>47894</v>
      </c>
      <c r="C4591" s="1" t="str">
        <f>"ROCHELLE"</f>
        <v>ROCHELLE</v>
      </c>
      <c r="D4591" s="1" t="str">
        <f t="shared" si="346"/>
        <v>VA</v>
      </c>
      <c r="E4591" s="2">
        <v>1</v>
      </c>
      <c r="F4591" s="2">
        <v>1</v>
      </c>
      <c r="G4591" s="2">
        <v>1</v>
      </c>
      <c r="H4591" s="2">
        <v>1</v>
      </c>
    </row>
    <row r="4592" spans="1:8" x14ac:dyDescent="0.25">
      <c r="A4592" s="1" t="str">
        <f>"33426"</f>
        <v>33426</v>
      </c>
      <c r="B4592" s="1" t="str">
        <f>"48424"</f>
        <v>48424</v>
      </c>
      <c r="C4592" s="1" t="str">
        <f>"BOYNTON BEACH"</f>
        <v>BOYNTON BEACH</v>
      </c>
      <c r="D4592" s="1" t="str">
        <f t="shared" ref="D4592:D4597" si="347">"FL"</f>
        <v>FL</v>
      </c>
      <c r="E4592" s="2">
        <v>1</v>
      </c>
      <c r="F4592" s="2">
        <v>1</v>
      </c>
      <c r="G4592" s="2">
        <v>1</v>
      </c>
      <c r="H4592" s="2">
        <v>1</v>
      </c>
    </row>
    <row r="4593" spans="1:8" x14ac:dyDescent="0.25">
      <c r="A4593" s="1" t="str">
        <f>"33412"</f>
        <v>33412</v>
      </c>
      <c r="B4593" s="1" t="str">
        <f>"48424"</f>
        <v>48424</v>
      </c>
      <c r="C4593" s="1" t="str">
        <f>"WEST PALM BEACH"</f>
        <v>WEST PALM BEACH</v>
      </c>
      <c r="D4593" s="1" t="str">
        <f t="shared" si="347"/>
        <v>FL</v>
      </c>
      <c r="E4593" s="2">
        <v>1</v>
      </c>
      <c r="F4593" s="2">
        <v>1</v>
      </c>
      <c r="G4593" s="2">
        <v>1</v>
      </c>
      <c r="H4593" s="2">
        <v>1</v>
      </c>
    </row>
    <row r="4594" spans="1:8" x14ac:dyDescent="0.25">
      <c r="A4594" s="1" t="str">
        <f>"33498"</f>
        <v>33498</v>
      </c>
      <c r="B4594" s="1" t="str">
        <f>"48424"</f>
        <v>48424</v>
      </c>
      <c r="C4594" s="1" t="str">
        <f>"BOCA RATON"</f>
        <v>BOCA RATON</v>
      </c>
      <c r="D4594" s="1" t="str">
        <f t="shared" si="347"/>
        <v>FL</v>
      </c>
      <c r="E4594" s="2">
        <v>1</v>
      </c>
      <c r="F4594" s="2">
        <v>1</v>
      </c>
      <c r="G4594" s="2">
        <v>1</v>
      </c>
      <c r="H4594" s="2">
        <v>1</v>
      </c>
    </row>
    <row r="4595" spans="1:8" x14ac:dyDescent="0.25">
      <c r="A4595" s="1" t="str">
        <f>"33493"</f>
        <v>33493</v>
      </c>
      <c r="B4595" s="1" t="str">
        <f>"48424"</f>
        <v>48424</v>
      </c>
      <c r="C4595" s="1" t="str">
        <f>"SOUTH BAY"</f>
        <v>SOUTH BAY</v>
      </c>
      <c r="D4595" s="1" t="str">
        <f t="shared" si="347"/>
        <v>FL</v>
      </c>
      <c r="E4595" s="2">
        <v>1</v>
      </c>
      <c r="F4595" s="2">
        <v>1</v>
      </c>
      <c r="G4595" s="2">
        <v>1</v>
      </c>
      <c r="H4595" s="2">
        <v>1</v>
      </c>
    </row>
    <row r="4596" spans="1:8" x14ac:dyDescent="0.25">
      <c r="A4596" s="1" t="str">
        <f>"33174"</f>
        <v>33174</v>
      </c>
      <c r="B4596" s="1" t="str">
        <f>"33124"</f>
        <v>33124</v>
      </c>
      <c r="C4596" s="1" t="str">
        <f>"MIAMI"</f>
        <v>MIAMI</v>
      </c>
      <c r="D4596" s="1" t="str">
        <f t="shared" si="347"/>
        <v>FL</v>
      </c>
      <c r="E4596" s="2">
        <v>1</v>
      </c>
      <c r="F4596" s="2">
        <v>1</v>
      </c>
      <c r="G4596" s="2">
        <v>1</v>
      </c>
      <c r="H4596" s="2">
        <v>1</v>
      </c>
    </row>
    <row r="4597" spans="1:8" x14ac:dyDescent="0.25">
      <c r="A4597" s="1" t="str">
        <f>"33165"</f>
        <v>33165</v>
      </c>
      <c r="B4597" s="1" t="str">
        <f>"33124"</f>
        <v>33124</v>
      </c>
      <c r="C4597" s="1" t="str">
        <f>"MIAMI"</f>
        <v>MIAMI</v>
      </c>
      <c r="D4597" s="1" t="str">
        <f t="shared" si="347"/>
        <v>FL</v>
      </c>
      <c r="E4597" s="2">
        <v>1</v>
      </c>
      <c r="F4597" s="2">
        <v>1</v>
      </c>
      <c r="G4597" s="2">
        <v>1</v>
      </c>
      <c r="H4597" s="2">
        <v>1</v>
      </c>
    </row>
    <row r="4598" spans="1:8" x14ac:dyDescent="0.25">
      <c r="A4598" s="1" t="str">
        <f>"46342"</f>
        <v>46342</v>
      </c>
      <c r="B4598" s="1" t="str">
        <f>"23844"</f>
        <v>23844</v>
      </c>
      <c r="C4598" s="1" t="str">
        <f>"HOBART"</f>
        <v>HOBART</v>
      </c>
      <c r="D4598" s="1" t="str">
        <f>"IN"</f>
        <v>IN</v>
      </c>
      <c r="E4598" s="2">
        <v>1</v>
      </c>
      <c r="F4598" s="2">
        <v>1</v>
      </c>
      <c r="G4598" s="2">
        <v>1</v>
      </c>
      <c r="H4598" s="2">
        <v>1</v>
      </c>
    </row>
    <row r="4599" spans="1:8" x14ac:dyDescent="0.25">
      <c r="A4599" s="1" t="str">
        <f>"46310"</f>
        <v>46310</v>
      </c>
      <c r="B4599" s="1" t="str">
        <f>"23844"</f>
        <v>23844</v>
      </c>
      <c r="C4599" s="1" t="str">
        <f>"DEMOTTE"</f>
        <v>DEMOTTE</v>
      </c>
      <c r="D4599" s="1" t="str">
        <f>"IN"</f>
        <v>IN</v>
      </c>
      <c r="E4599" s="2">
        <v>1</v>
      </c>
      <c r="F4599" s="2">
        <v>1</v>
      </c>
      <c r="G4599" s="2">
        <v>1</v>
      </c>
      <c r="H4599" s="2">
        <v>1</v>
      </c>
    </row>
    <row r="4600" spans="1:8" x14ac:dyDescent="0.25">
      <c r="A4600" s="1" t="str">
        <f>"46411"</f>
        <v>46411</v>
      </c>
      <c r="B4600" s="1" t="str">
        <f>"23844"</f>
        <v>23844</v>
      </c>
      <c r="C4600" s="1" t="str">
        <f>"MERRILLVILLE"</f>
        <v>MERRILLVILLE</v>
      </c>
      <c r="D4600" s="1" t="str">
        <f>"IN"</f>
        <v>IN</v>
      </c>
      <c r="E4600" s="2">
        <v>1</v>
      </c>
      <c r="F4600" s="2">
        <v>1</v>
      </c>
      <c r="G4600" s="2">
        <v>1</v>
      </c>
      <c r="H4600" s="2">
        <v>1</v>
      </c>
    </row>
    <row r="4601" spans="1:8" x14ac:dyDescent="0.25">
      <c r="A4601" s="1" t="str">
        <f>"47978"</f>
        <v>47978</v>
      </c>
      <c r="B4601" s="1" t="str">
        <f>"23844"</f>
        <v>23844</v>
      </c>
      <c r="C4601" s="1" t="str">
        <f>"RENSSELAER"</f>
        <v>RENSSELAER</v>
      </c>
      <c r="D4601" s="1" t="str">
        <f>"IN"</f>
        <v>IN</v>
      </c>
      <c r="E4601" s="2">
        <v>1</v>
      </c>
      <c r="F4601" s="2">
        <v>1</v>
      </c>
      <c r="G4601" s="2">
        <v>1</v>
      </c>
      <c r="H4601" s="2">
        <v>1</v>
      </c>
    </row>
    <row r="4602" spans="1:8" x14ac:dyDescent="0.25">
      <c r="A4602" s="1" t="str">
        <f>"48089"</f>
        <v>48089</v>
      </c>
      <c r="B4602" s="1" t="str">
        <f>"47664"</f>
        <v>47664</v>
      </c>
      <c r="C4602" s="1" t="str">
        <f>"WARREN"</f>
        <v>WARREN</v>
      </c>
      <c r="D4602" s="1" t="str">
        <f t="shared" ref="D4602:D4609" si="348">"MI"</f>
        <v>MI</v>
      </c>
      <c r="E4602" s="2">
        <v>1</v>
      </c>
      <c r="F4602" s="2">
        <v>1</v>
      </c>
      <c r="G4602" s="2">
        <v>1</v>
      </c>
      <c r="H4602" s="2">
        <v>1</v>
      </c>
    </row>
    <row r="4603" spans="1:8" x14ac:dyDescent="0.25">
      <c r="A4603" s="1" t="str">
        <f>"48380"</f>
        <v>48380</v>
      </c>
      <c r="B4603" s="1" t="str">
        <f>"47664"</f>
        <v>47664</v>
      </c>
      <c r="C4603" s="1" t="str">
        <f>"MILFORD"</f>
        <v>MILFORD</v>
      </c>
      <c r="D4603" s="1" t="str">
        <f t="shared" si="348"/>
        <v>MI</v>
      </c>
      <c r="E4603" s="2">
        <v>1</v>
      </c>
      <c r="F4603" s="2">
        <v>1</v>
      </c>
      <c r="G4603" s="2">
        <v>1</v>
      </c>
      <c r="H4603" s="2">
        <v>1</v>
      </c>
    </row>
    <row r="4604" spans="1:8" x14ac:dyDescent="0.25">
      <c r="A4604" s="1" t="str">
        <f>"48357"</f>
        <v>48357</v>
      </c>
      <c r="B4604" s="1" t="str">
        <f>"47664"</f>
        <v>47664</v>
      </c>
      <c r="C4604" s="1" t="str">
        <f>"HIGHLAND"</f>
        <v>HIGHLAND</v>
      </c>
      <c r="D4604" s="1" t="str">
        <f t="shared" si="348"/>
        <v>MI</v>
      </c>
      <c r="E4604" s="2">
        <v>1</v>
      </c>
      <c r="F4604" s="2">
        <v>1</v>
      </c>
      <c r="G4604" s="2">
        <v>1</v>
      </c>
      <c r="H4604" s="2">
        <v>1</v>
      </c>
    </row>
    <row r="4605" spans="1:8" x14ac:dyDescent="0.25">
      <c r="A4605" s="1" t="str">
        <f>"48316"</f>
        <v>48316</v>
      </c>
      <c r="B4605" s="1" t="str">
        <f>"47664"</f>
        <v>47664</v>
      </c>
      <c r="C4605" s="1" t="str">
        <f>"UTICA"</f>
        <v>UTICA</v>
      </c>
      <c r="D4605" s="1" t="str">
        <f t="shared" si="348"/>
        <v>MI</v>
      </c>
      <c r="E4605" s="2">
        <v>1</v>
      </c>
      <c r="F4605" s="2">
        <v>1</v>
      </c>
      <c r="G4605" s="2">
        <v>1</v>
      </c>
      <c r="H4605" s="2">
        <v>1</v>
      </c>
    </row>
    <row r="4606" spans="1:8" x14ac:dyDescent="0.25">
      <c r="A4606" s="1" t="str">
        <f>"48168"</f>
        <v>48168</v>
      </c>
      <c r="B4606" s="1" t="str">
        <f>"19804"</f>
        <v>19804</v>
      </c>
      <c r="C4606" s="1" t="str">
        <f>"NORTHVILLE"</f>
        <v>NORTHVILLE</v>
      </c>
      <c r="D4606" s="1" t="str">
        <f t="shared" si="348"/>
        <v>MI</v>
      </c>
      <c r="E4606" s="2">
        <v>1</v>
      </c>
      <c r="F4606" s="2">
        <v>1</v>
      </c>
      <c r="G4606" s="2">
        <v>1</v>
      </c>
      <c r="H4606" s="2">
        <v>1</v>
      </c>
    </row>
    <row r="4607" spans="1:8" x14ac:dyDescent="0.25">
      <c r="A4607" s="1" t="str">
        <f>"48193"</f>
        <v>48193</v>
      </c>
      <c r="B4607" s="1" t="str">
        <f>"19804"</f>
        <v>19804</v>
      </c>
      <c r="C4607" s="1" t="str">
        <f>"RIVERVIEW"</f>
        <v>RIVERVIEW</v>
      </c>
      <c r="D4607" s="1" t="str">
        <f t="shared" si="348"/>
        <v>MI</v>
      </c>
      <c r="E4607" s="2">
        <v>1</v>
      </c>
      <c r="F4607" s="2">
        <v>1</v>
      </c>
      <c r="G4607" s="2">
        <v>1</v>
      </c>
      <c r="H4607" s="2">
        <v>1</v>
      </c>
    </row>
    <row r="4608" spans="1:8" x14ac:dyDescent="0.25">
      <c r="A4608" s="1" t="str">
        <f>"48121"</f>
        <v>48121</v>
      </c>
      <c r="B4608" s="1" t="str">
        <f>"19804"</f>
        <v>19804</v>
      </c>
      <c r="C4608" s="1" t="str">
        <f>"DEARBORN"</f>
        <v>DEARBORN</v>
      </c>
      <c r="D4608" s="1" t="str">
        <f t="shared" si="348"/>
        <v>MI</v>
      </c>
      <c r="E4608" s="2">
        <v>1</v>
      </c>
      <c r="F4608" s="2">
        <v>1</v>
      </c>
      <c r="G4608" s="2">
        <v>1</v>
      </c>
      <c r="H4608" s="2">
        <v>1</v>
      </c>
    </row>
    <row r="4609" spans="1:8" x14ac:dyDescent="0.25">
      <c r="A4609" s="1" t="str">
        <f>"48217"</f>
        <v>48217</v>
      </c>
      <c r="B4609" s="1" t="str">
        <f>"19804"</f>
        <v>19804</v>
      </c>
      <c r="C4609" s="1" t="str">
        <f>"DETROIT"</f>
        <v>DETROIT</v>
      </c>
      <c r="D4609" s="1" t="str">
        <f t="shared" si="348"/>
        <v>MI</v>
      </c>
      <c r="E4609" s="2">
        <v>1</v>
      </c>
      <c r="F4609" s="2">
        <v>1</v>
      </c>
      <c r="G4609" s="2">
        <v>1</v>
      </c>
      <c r="H4609" s="2">
        <v>1</v>
      </c>
    </row>
    <row r="4610" spans="1:8" x14ac:dyDescent="0.25">
      <c r="A4610" s="1" t="str">
        <f>"60435"</f>
        <v>60435</v>
      </c>
      <c r="B4610" s="1" t="str">
        <f>"16984"</f>
        <v>16984</v>
      </c>
      <c r="C4610" s="1" t="str">
        <f>"JOLIET"</f>
        <v>JOLIET</v>
      </c>
      <c r="D4610" s="1" t="str">
        <f t="shared" ref="D4610:D4624" si="349">"IL"</f>
        <v>IL</v>
      </c>
      <c r="E4610" s="2">
        <v>1</v>
      </c>
      <c r="F4610" s="2">
        <v>0.99944842801985601</v>
      </c>
      <c r="G4610" s="2">
        <v>1</v>
      </c>
      <c r="H4610" s="2">
        <v>0.999959038217343</v>
      </c>
    </row>
    <row r="4611" spans="1:8" x14ac:dyDescent="0.25">
      <c r="A4611" s="1" t="str">
        <f>"60435"</f>
        <v>60435</v>
      </c>
      <c r="B4611" s="1" t="str">
        <f>"20994"</f>
        <v>20994</v>
      </c>
      <c r="C4611" s="1" t="str">
        <f>"JOLIET"</f>
        <v>JOLIET</v>
      </c>
      <c r="D4611" s="1" t="str">
        <f t="shared" si="349"/>
        <v>IL</v>
      </c>
      <c r="E4611" s="2">
        <v>0</v>
      </c>
      <c r="F4611" s="2">
        <v>5.51571980143408E-4</v>
      </c>
      <c r="G4611" s="2">
        <v>0</v>
      </c>
      <c r="H4611" s="2">
        <v>4.0961782656781198E-5</v>
      </c>
    </row>
    <row r="4612" spans="1:8" x14ac:dyDescent="0.25">
      <c r="A4612" s="1" t="str">
        <f>"60455"</f>
        <v>60455</v>
      </c>
      <c r="B4612" s="1" t="str">
        <f t="shared" ref="B4612:B4618" si="350">"16984"</f>
        <v>16984</v>
      </c>
      <c r="C4612" s="1" t="str">
        <f>"BRIDGEVIEW"</f>
        <v>BRIDGEVIEW</v>
      </c>
      <c r="D4612" s="1" t="str">
        <f t="shared" si="349"/>
        <v>IL</v>
      </c>
      <c r="E4612" s="2">
        <v>1</v>
      </c>
      <c r="F4612" s="2">
        <v>1</v>
      </c>
      <c r="G4612" s="2">
        <v>1</v>
      </c>
      <c r="H4612" s="2">
        <v>1</v>
      </c>
    </row>
    <row r="4613" spans="1:8" x14ac:dyDescent="0.25">
      <c r="A4613" s="1" t="str">
        <f>"60407"</f>
        <v>60407</v>
      </c>
      <c r="B4613" s="1" t="str">
        <f t="shared" si="350"/>
        <v>16984</v>
      </c>
      <c r="C4613" s="1" t="str">
        <f>"BRACEVILLE"</f>
        <v>BRACEVILLE</v>
      </c>
      <c r="D4613" s="1" t="str">
        <f t="shared" si="349"/>
        <v>IL</v>
      </c>
      <c r="E4613" s="2">
        <v>1</v>
      </c>
      <c r="F4613" s="2">
        <v>1</v>
      </c>
      <c r="G4613" s="2">
        <v>1</v>
      </c>
      <c r="H4613" s="2">
        <v>1</v>
      </c>
    </row>
    <row r="4614" spans="1:8" x14ac:dyDescent="0.25">
      <c r="A4614" s="1" t="str">
        <f>"60415"</f>
        <v>60415</v>
      </c>
      <c r="B4614" s="1" t="str">
        <f t="shared" si="350"/>
        <v>16984</v>
      </c>
      <c r="C4614" s="1" t="str">
        <f>"CHICAGO RIDGE"</f>
        <v>CHICAGO RIDGE</v>
      </c>
      <c r="D4614" s="1" t="str">
        <f t="shared" si="349"/>
        <v>IL</v>
      </c>
      <c r="E4614" s="2">
        <v>1</v>
      </c>
      <c r="F4614" s="2">
        <v>1</v>
      </c>
      <c r="G4614" s="2">
        <v>1</v>
      </c>
      <c r="H4614" s="2">
        <v>1</v>
      </c>
    </row>
    <row r="4615" spans="1:8" x14ac:dyDescent="0.25">
      <c r="A4615" s="1" t="str">
        <f>"60501"</f>
        <v>60501</v>
      </c>
      <c r="B4615" s="1" t="str">
        <f t="shared" si="350"/>
        <v>16984</v>
      </c>
      <c r="C4615" s="1" t="str">
        <f>"SUMMIT ARGO"</f>
        <v>SUMMIT ARGO</v>
      </c>
      <c r="D4615" s="1" t="str">
        <f t="shared" si="349"/>
        <v>IL</v>
      </c>
      <c r="E4615" s="2">
        <v>1</v>
      </c>
      <c r="F4615" s="2">
        <v>1</v>
      </c>
      <c r="G4615" s="2">
        <v>1</v>
      </c>
      <c r="H4615" s="2">
        <v>1</v>
      </c>
    </row>
    <row r="4616" spans="1:8" x14ac:dyDescent="0.25">
      <c r="A4616" s="1" t="str">
        <f>"60940"</f>
        <v>60940</v>
      </c>
      <c r="B4616" s="1" t="str">
        <f t="shared" si="350"/>
        <v>16984</v>
      </c>
      <c r="C4616" s="1" t="str">
        <f>"GRANT PARK"</f>
        <v>GRANT PARK</v>
      </c>
      <c r="D4616" s="1" t="str">
        <f t="shared" si="349"/>
        <v>IL</v>
      </c>
      <c r="E4616" s="2">
        <v>1</v>
      </c>
      <c r="F4616" s="2">
        <v>1</v>
      </c>
      <c r="G4616" s="2">
        <v>0</v>
      </c>
      <c r="H4616" s="2">
        <v>1</v>
      </c>
    </row>
    <row r="4617" spans="1:8" x14ac:dyDescent="0.25">
      <c r="A4617" s="1" t="str">
        <f>"60564"</f>
        <v>60564</v>
      </c>
      <c r="B4617" s="1" t="str">
        <f t="shared" si="350"/>
        <v>16984</v>
      </c>
      <c r="C4617" s="1" t="str">
        <f>"NAPERVILLE"</f>
        <v>NAPERVILLE</v>
      </c>
      <c r="D4617" s="1" t="str">
        <f t="shared" si="349"/>
        <v>IL</v>
      </c>
      <c r="E4617" s="2">
        <v>1</v>
      </c>
      <c r="F4617" s="2">
        <v>1</v>
      </c>
      <c r="G4617" s="2">
        <v>1</v>
      </c>
      <c r="H4617" s="2">
        <v>1</v>
      </c>
    </row>
    <row r="4618" spans="1:8" x14ac:dyDescent="0.25">
      <c r="A4618" s="1" t="str">
        <f>"60555"</f>
        <v>60555</v>
      </c>
      <c r="B4618" s="1" t="str">
        <f t="shared" si="350"/>
        <v>16984</v>
      </c>
      <c r="C4618" s="1" t="str">
        <f>"WARRENVILLE"</f>
        <v>WARRENVILLE</v>
      </c>
      <c r="D4618" s="1" t="str">
        <f t="shared" si="349"/>
        <v>IL</v>
      </c>
      <c r="E4618" s="2">
        <v>1</v>
      </c>
      <c r="F4618" s="2">
        <v>1</v>
      </c>
      <c r="G4618" s="2">
        <v>1</v>
      </c>
      <c r="H4618" s="2">
        <v>1</v>
      </c>
    </row>
    <row r="4619" spans="1:8" x14ac:dyDescent="0.25">
      <c r="A4619" s="1" t="str">
        <f>"60556"</f>
        <v>60556</v>
      </c>
      <c r="B4619" s="1" t="str">
        <f>"20994"</f>
        <v>20994</v>
      </c>
      <c r="C4619" s="1" t="str">
        <f>"WATERMAN"</f>
        <v>WATERMAN</v>
      </c>
      <c r="D4619" s="1" t="str">
        <f t="shared" si="349"/>
        <v>IL</v>
      </c>
      <c r="E4619" s="2">
        <v>1</v>
      </c>
      <c r="F4619" s="2">
        <v>1</v>
      </c>
      <c r="G4619" s="2">
        <v>1</v>
      </c>
      <c r="H4619" s="2">
        <v>1</v>
      </c>
    </row>
    <row r="4620" spans="1:8" x14ac:dyDescent="0.25">
      <c r="A4620" s="1" t="str">
        <f>"60034"</f>
        <v>60034</v>
      </c>
      <c r="B4620" s="1" t="str">
        <f>"16984"</f>
        <v>16984</v>
      </c>
      <c r="C4620" s="1" t="str">
        <f>"HEBRON"</f>
        <v>HEBRON</v>
      </c>
      <c r="D4620" s="1" t="str">
        <f t="shared" si="349"/>
        <v>IL</v>
      </c>
      <c r="E4620" s="2">
        <v>1</v>
      </c>
      <c r="F4620" s="2">
        <v>1</v>
      </c>
      <c r="G4620" s="2">
        <v>1</v>
      </c>
      <c r="H4620" s="2">
        <v>1</v>
      </c>
    </row>
    <row r="4621" spans="1:8" x14ac:dyDescent="0.25">
      <c r="A4621" s="1" t="str">
        <f>"60153"</f>
        <v>60153</v>
      </c>
      <c r="B4621" s="1" t="str">
        <f>"16984"</f>
        <v>16984</v>
      </c>
      <c r="C4621" s="1" t="str">
        <f>"MAYWOOD"</f>
        <v>MAYWOOD</v>
      </c>
      <c r="D4621" s="1" t="str">
        <f t="shared" si="349"/>
        <v>IL</v>
      </c>
      <c r="E4621" s="2">
        <v>1</v>
      </c>
      <c r="F4621" s="2">
        <v>1</v>
      </c>
      <c r="G4621" s="2">
        <v>1</v>
      </c>
      <c r="H4621" s="2">
        <v>1</v>
      </c>
    </row>
    <row r="4622" spans="1:8" x14ac:dyDescent="0.25">
      <c r="A4622" s="1" t="str">
        <f>"60117"</f>
        <v>60117</v>
      </c>
      <c r="B4622" s="1" t="str">
        <f>"16984"</f>
        <v>16984</v>
      </c>
      <c r="C4622" s="1" t="str">
        <f>"BLOOMINGDALE"</f>
        <v>BLOOMINGDALE</v>
      </c>
      <c r="D4622" s="1" t="str">
        <f t="shared" si="349"/>
        <v>IL</v>
      </c>
      <c r="E4622" s="2">
        <v>0</v>
      </c>
      <c r="F4622" s="2">
        <v>1</v>
      </c>
      <c r="G4622" s="2">
        <v>1</v>
      </c>
      <c r="H4622" s="2">
        <v>1</v>
      </c>
    </row>
    <row r="4623" spans="1:8" x14ac:dyDescent="0.25">
      <c r="A4623" s="1" t="str">
        <f>"60654"</f>
        <v>60654</v>
      </c>
      <c r="B4623" s="1" t="str">
        <f>"16984"</f>
        <v>16984</v>
      </c>
      <c r="C4623" s="1" t="str">
        <f>"CHICAGO"</f>
        <v>CHICAGO</v>
      </c>
      <c r="D4623" s="1" t="str">
        <f t="shared" si="349"/>
        <v>IL</v>
      </c>
      <c r="E4623" s="2">
        <v>1</v>
      </c>
      <c r="F4623" s="2">
        <v>1</v>
      </c>
      <c r="G4623" s="2">
        <v>1</v>
      </c>
      <c r="H4623" s="2">
        <v>1</v>
      </c>
    </row>
    <row r="4624" spans="1:8" x14ac:dyDescent="0.25">
      <c r="A4624" s="1" t="str">
        <f>"60629"</f>
        <v>60629</v>
      </c>
      <c r="B4624" s="1" t="str">
        <f>"16984"</f>
        <v>16984</v>
      </c>
      <c r="C4624" s="1" t="str">
        <f>"CHICAGO"</f>
        <v>CHICAGO</v>
      </c>
      <c r="D4624" s="1" t="str">
        <f t="shared" si="349"/>
        <v>IL</v>
      </c>
      <c r="E4624" s="2">
        <v>1</v>
      </c>
      <c r="F4624" s="2">
        <v>1</v>
      </c>
      <c r="G4624" s="2">
        <v>1</v>
      </c>
      <c r="H4624" s="2">
        <v>1</v>
      </c>
    </row>
    <row r="4625" spans="1:8" x14ac:dyDescent="0.25">
      <c r="A4625" s="1" t="str">
        <f>"75013"</f>
        <v>75013</v>
      </c>
      <c r="B4625" s="1" t="str">
        <f>"19124"</f>
        <v>19124</v>
      </c>
      <c r="C4625" s="1" t="str">
        <f>"ALLEN"</f>
        <v>ALLEN</v>
      </c>
      <c r="D4625" s="1" t="str">
        <f t="shared" ref="D4625:D4633" si="351">"TX"</f>
        <v>TX</v>
      </c>
      <c r="E4625" s="2">
        <v>1</v>
      </c>
      <c r="F4625" s="2">
        <v>1</v>
      </c>
      <c r="G4625" s="2">
        <v>1</v>
      </c>
      <c r="H4625" s="2">
        <v>1</v>
      </c>
    </row>
    <row r="4626" spans="1:8" x14ac:dyDescent="0.25">
      <c r="A4626" s="1" t="str">
        <f>"75401"</f>
        <v>75401</v>
      </c>
      <c r="B4626" s="1" t="str">
        <f>"19124"</f>
        <v>19124</v>
      </c>
      <c r="C4626" s="1" t="str">
        <f>"GREENVILLE"</f>
        <v>GREENVILLE</v>
      </c>
      <c r="D4626" s="1" t="str">
        <f t="shared" si="351"/>
        <v>TX</v>
      </c>
      <c r="E4626" s="2">
        <v>1</v>
      </c>
      <c r="F4626" s="2">
        <v>1</v>
      </c>
      <c r="G4626" s="2">
        <v>1</v>
      </c>
      <c r="H4626" s="2">
        <v>1</v>
      </c>
    </row>
    <row r="4627" spans="1:8" x14ac:dyDescent="0.25">
      <c r="A4627" s="1" t="str">
        <f>"75126"</f>
        <v>75126</v>
      </c>
      <c r="B4627" s="1" t="str">
        <f>"19124"</f>
        <v>19124</v>
      </c>
      <c r="C4627" s="1" t="str">
        <f>"FORNEY"</f>
        <v>FORNEY</v>
      </c>
      <c r="D4627" s="1" t="str">
        <f t="shared" si="351"/>
        <v>TX</v>
      </c>
      <c r="E4627" s="2">
        <v>1</v>
      </c>
      <c r="F4627" s="2">
        <v>1</v>
      </c>
      <c r="G4627" s="2">
        <v>1</v>
      </c>
      <c r="H4627" s="2">
        <v>1</v>
      </c>
    </row>
    <row r="4628" spans="1:8" x14ac:dyDescent="0.25">
      <c r="A4628" s="1" t="str">
        <f>"75083"</f>
        <v>75083</v>
      </c>
      <c r="B4628" s="1" t="str">
        <f>"19124"</f>
        <v>19124</v>
      </c>
      <c r="C4628" s="1" t="str">
        <f>"RICHARDSON"</f>
        <v>RICHARDSON</v>
      </c>
      <c r="D4628" s="1" t="str">
        <f t="shared" si="351"/>
        <v>TX</v>
      </c>
      <c r="E4628" s="2">
        <v>1</v>
      </c>
      <c r="F4628" s="2">
        <v>1</v>
      </c>
      <c r="G4628" s="2">
        <v>1</v>
      </c>
      <c r="H4628" s="2">
        <v>1</v>
      </c>
    </row>
    <row r="4629" spans="1:8" x14ac:dyDescent="0.25">
      <c r="A4629" s="1" t="str">
        <f>"76099"</f>
        <v>76099</v>
      </c>
      <c r="B4629" s="1" t="str">
        <f>"23104"</f>
        <v>23104</v>
      </c>
      <c r="C4629" s="1" t="str">
        <f>"GRAPEVINE"</f>
        <v>GRAPEVINE</v>
      </c>
      <c r="D4629" s="1" t="str">
        <f t="shared" si="351"/>
        <v>TX</v>
      </c>
      <c r="E4629" s="2">
        <v>1</v>
      </c>
      <c r="F4629" s="2">
        <v>1</v>
      </c>
      <c r="G4629" s="2">
        <v>1</v>
      </c>
      <c r="H4629" s="2">
        <v>1</v>
      </c>
    </row>
    <row r="4630" spans="1:8" x14ac:dyDescent="0.25">
      <c r="A4630" s="1" t="str">
        <f>"76021"</f>
        <v>76021</v>
      </c>
      <c r="B4630" s="1" t="str">
        <f>"23104"</f>
        <v>23104</v>
      </c>
      <c r="C4630" s="1" t="str">
        <f>"BEDFORD"</f>
        <v>BEDFORD</v>
      </c>
      <c r="D4630" s="1" t="str">
        <f t="shared" si="351"/>
        <v>TX</v>
      </c>
      <c r="E4630" s="2">
        <v>1</v>
      </c>
      <c r="F4630" s="2">
        <v>1</v>
      </c>
      <c r="G4630" s="2">
        <v>1</v>
      </c>
      <c r="H4630" s="2">
        <v>1</v>
      </c>
    </row>
    <row r="4631" spans="1:8" x14ac:dyDescent="0.25">
      <c r="A4631" s="1" t="str">
        <f>"76031"</f>
        <v>76031</v>
      </c>
      <c r="B4631" s="1" t="str">
        <f>"23104"</f>
        <v>23104</v>
      </c>
      <c r="C4631" s="1" t="str">
        <f>"CLEBURNE"</f>
        <v>CLEBURNE</v>
      </c>
      <c r="D4631" s="1" t="str">
        <f t="shared" si="351"/>
        <v>TX</v>
      </c>
      <c r="E4631" s="2">
        <v>1</v>
      </c>
      <c r="F4631" s="2">
        <v>1</v>
      </c>
      <c r="G4631" s="2">
        <v>1</v>
      </c>
      <c r="H4631" s="2">
        <v>1</v>
      </c>
    </row>
    <row r="4632" spans="1:8" x14ac:dyDescent="0.25">
      <c r="A4632" s="1" t="str">
        <f>"76120"</f>
        <v>76120</v>
      </c>
      <c r="B4632" s="1" t="str">
        <f>"23104"</f>
        <v>23104</v>
      </c>
      <c r="C4632" s="1" t="str">
        <f>"FORT WORTH"</f>
        <v>FORT WORTH</v>
      </c>
      <c r="D4632" s="1" t="str">
        <f t="shared" si="351"/>
        <v>TX</v>
      </c>
      <c r="E4632" s="2">
        <v>1</v>
      </c>
      <c r="F4632" s="2">
        <v>1</v>
      </c>
      <c r="G4632" s="2">
        <v>1</v>
      </c>
      <c r="H4632" s="2">
        <v>1</v>
      </c>
    </row>
    <row r="4633" spans="1:8" x14ac:dyDescent="0.25">
      <c r="A4633" s="1" t="str">
        <f>"76670"</f>
        <v>76670</v>
      </c>
      <c r="B4633" s="1" t="str">
        <f>"19124"</f>
        <v>19124</v>
      </c>
      <c r="C4633" s="1" t="str">
        <f>"MILFORD"</f>
        <v>MILFORD</v>
      </c>
      <c r="D4633" s="1" t="str">
        <f t="shared" si="351"/>
        <v>TX</v>
      </c>
      <c r="E4633" s="2">
        <v>1</v>
      </c>
      <c r="F4633" s="2">
        <v>1</v>
      </c>
      <c r="G4633" s="2">
        <v>1</v>
      </c>
      <c r="H4633" s="2">
        <v>1</v>
      </c>
    </row>
    <row r="4634" spans="1:8" x14ac:dyDescent="0.25">
      <c r="A4634" s="1" t="str">
        <f>"90031"</f>
        <v>90031</v>
      </c>
      <c r="B4634" s="1" t="str">
        <f t="shared" ref="B4634:B4641" si="352">"31084"</f>
        <v>31084</v>
      </c>
      <c r="C4634" s="1" t="str">
        <f>"LOS ANGELES"</f>
        <v>LOS ANGELES</v>
      </c>
      <c r="D4634" s="1" t="str">
        <f t="shared" ref="D4634:D4657" si="353">"CA"</f>
        <v>CA</v>
      </c>
      <c r="E4634" s="2">
        <v>1</v>
      </c>
      <c r="F4634" s="2">
        <v>1</v>
      </c>
      <c r="G4634" s="2">
        <v>1</v>
      </c>
      <c r="H4634" s="2">
        <v>1</v>
      </c>
    </row>
    <row r="4635" spans="1:8" x14ac:dyDescent="0.25">
      <c r="A4635" s="1" t="str">
        <f>"90043"</f>
        <v>90043</v>
      </c>
      <c r="B4635" s="1" t="str">
        <f t="shared" si="352"/>
        <v>31084</v>
      </c>
      <c r="C4635" s="1" t="str">
        <f>"LOS ANGELES"</f>
        <v>LOS ANGELES</v>
      </c>
      <c r="D4635" s="1" t="str">
        <f t="shared" si="353"/>
        <v>CA</v>
      </c>
      <c r="E4635" s="2">
        <v>1</v>
      </c>
      <c r="F4635" s="2">
        <v>1</v>
      </c>
      <c r="G4635" s="2">
        <v>1</v>
      </c>
      <c r="H4635" s="2">
        <v>1</v>
      </c>
    </row>
    <row r="4636" spans="1:8" x14ac:dyDescent="0.25">
      <c r="A4636" s="1" t="str">
        <f>"90270"</f>
        <v>90270</v>
      </c>
      <c r="B4636" s="1" t="str">
        <f t="shared" si="352"/>
        <v>31084</v>
      </c>
      <c r="C4636" s="1" t="str">
        <f>"MAYWOOD"</f>
        <v>MAYWOOD</v>
      </c>
      <c r="D4636" s="1" t="str">
        <f t="shared" si="353"/>
        <v>CA</v>
      </c>
      <c r="E4636" s="2">
        <v>1</v>
      </c>
      <c r="F4636" s="2">
        <v>1</v>
      </c>
      <c r="G4636" s="2">
        <v>1</v>
      </c>
      <c r="H4636" s="2">
        <v>1</v>
      </c>
    </row>
    <row r="4637" spans="1:8" x14ac:dyDescent="0.25">
      <c r="A4637" s="1" t="str">
        <f>"91352"</f>
        <v>91352</v>
      </c>
      <c r="B4637" s="1" t="str">
        <f t="shared" si="352"/>
        <v>31084</v>
      </c>
      <c r="C4637" s="1" t="str">
        <f>"SUN VALLEY"</f>
        <v>SUN VALLEY</v>
      </c>
      <c r="D4637" s="1" t="str">
        <f t="shared" si="353"/>
        <v>CA</v>
      </c>
      <c r="E4637" s="2">
        <v>1</v>
      </c>
      <c r="F4637" s="2">
        <v>1</v>
      </c>
      <c r="G4637" s="2">
        <v>1</v>
      </c>
      <c r="H4637" s="2">
        <v>1</v>
      </c>
    </row>
    <row r="4638" spans="1:8" x14ac:dyDescent="0.25">
      <c r="A4638" s="1" t="str">
        <f>"91343"</f>
        <v>91343</v>
      </c>
      <c r="B4638" s="1" t="str">
        <f t="shared" si="352"/>
        <v>31084</v>
      </c>
      <c r="C4638" s="1" t="str">
        <f>"NORTH HILLS"</f>
        <v>NORTH HILLS</v>
      </c>
      <c r="D4638" s="1" t="str">
        <f t="shared" si="353"/>
        <v>CA</v>
      </c>
      <c r="E4638" s="2">
        <v>1</v>
      </c>
      <c r="F4638" s="2">
        <v>1</v>
      </c>
      <c r="G4638" s="2">
        <v>1</v>
      </c>
      <c r="H4638" s="2">
        <v>1</v>
      </c>
    </row>
    <row r="4639" spans="1:8" x14ac:dyDescent="0.25">
      <c r="A4639" s="1" t="str">
        <f>"91376"</f>
        <v>91376</v>
      </c>
      <c r="B4639" s="1" t="str">
        <f t="shared" si="352"/>
        <v>31084</v>
      </c>
      <c r="C4639" s="1" t="str">
        <f>"AGOURA HILLS"</f>
        <v>AGOURA HILLS</v>
      </c>
      <c r="D4639" s="1" t="str">
        <f t="shared" si="353"/>
        <v>CA</v>
      </c>
      <c r="E4639" s="2">
        <v>1</v>
      </c>
      <c r="F4639" s="2">
        <v>1</v>
      </c>
      <c r="G4639" s="2">
        <v>1</v>
      </c>
      <c r="H4639" s="2">
        <v>1</v>
      </c>
    </row>
    <row r="4640" spans="1:8" x14ac:dyDescent="0.25">
      <c r="A4640" s="1" t="str">
        <f>"91331"</f>
        <v>91331</v>
      </c>
      <c r="B4640" s="1" t="str">
        <f t="shared" si="352"/>
        <v>31084</v>
      </c>
      <c r="C4640" s="1" t="str">
        <f>"PACOIMA"</f>
        <v>PACOIMA</v>
      </c>
      <c r="D4640" s="1" t="str">
        <f t="shared" si="353"/>
        <v>CA</v>
      </c>
      <c r="E4640" s="2">
        <v>1</v>
      </c>
      <c r="F4640" s="2">
        <v>1</v>
      </c>
      <c r="G4640" s="2">
        <v>1</v>
      </c>
      <c r="H4640" s="2">
        <v>1</v>
      </c>
    </row>
    <row r="4641" spans="1:8" x14ac:dyDescent="0.25">
      <c r="A4641" s="1" t="str">
        <f>"90650"</f>
        <v>90650</v>
      </c>
      <c r="B4641" s="1" t="str">
        <f t="shared" si="352"/>
        <v>31084</v>
      </c>
      <c r="C4641" s="1" t="str">
        <f>"NORWALK"</f>
        <v>NORWALK</v>
      </c>
      <c r="D4641" s="1" t="str">
        <f t="shared" si="353"/>
        <v>CA</v>
      </c>
      <c r="E4641" s="2">
        <v>1</v>
      </c>
      <c r="F4641" s="2">
        <v>1</v>
      </c>
      <c r="G4641" s="2">
        <v>1</v>
      </c>
      <c r="H4641" s="2">
        <v>1</v>
      </c>
    </row>
    <row r="4642" spans="1:8" x14ac:dyDescent="0.25">
      <c r="A4642" s="1" t="str">
        <f>"90620"</f>
        <v>90620</v>
      </c>
      <c r="B4642" s="1" t="str">
        <f>"11244"</f>
        <v>11244</v>
      </c>
      <c r="C4642" s="1" t="str">
        <f>"BUENA PARK"</f>
        <v>BUENA PARK</v>
      </c>
      <c r="D4642" s="1" t="str">
        <f t="shared" si="353"/>
        <v>CA</v>
      </c>
      <c r="E4642" s="2">
        <v>1</v>
      </c>
      <c r="F4642" s="2">
        <v>1</v>
      </c>
      <c r="G4642" s="2">
        <v>1</v>
      </c>
      <c r="H4642" s="2">
        <v>1</v>
      </c>
    </row>
    <row r="4643" spans="1:8" x14ac:dyDescent="0.25">
      <c r="A4643" s="1" t="str">
        <f>"90304"</f>
        <v>90304</v>
      </c>
      <c r="B4643" s="1" t="str">
        <f>"31084"</f>
        <v>31084</v>
      </c>
      <c r="C4643" s="1" t="str">
        <f>"INGLEWOOD"</f>
        <v>INGLEWOOD</v>
      </c>
      <c r="D4643" s="1" t="str">
        <f t="shared" si="353"/>
        <v>CA</v>
      </c>
      <c r="E4643" s="2">
        <v>1</v>
      </c>
      <c r="F4643" s="2">
        <v>1</v>
      </c>
      <c r="G4643" s="2">
        <v>1</v>
      </c>
      <c r="H4643" s="2">
        <v>1</v>
      </c>
    </row>
    <row r="4644" spans="1:8" x14ac:dyDescent="0.25">
      <c r="A4644" s="1" t="str">
        <f>"90602"</f>
        <v>90602</v>
      </c>
      <c r="B4644" s="1" t="str">
        <f>"31084"</f>
        <v>31084</v>
      </c>
      <c r="C4644" s="1" t="str">
        <f>"WHITTIER"</f>
        <v>WHITTIER</v>
      </c>
      <c r="D4644" s="1" t="str">
        <f t="shared" si="353"/>
        <v>CA</v>
      </c>
      <c r="E4644" s="2">
        <v>1</v>
      </c>
      <c r="F4644" s="2">
        <v>1</v>
      </c>
      <c r="G4644" s="2">
        <v>1</v>
      </c>
      <c r="H4644" s="2">
        <v>1</v>
      </c>
    </row>
    <row r="4645" spans="1:8" x14ac:dyDescent="0.25">
      <c r="A4645" s="1" t="str">
        <f>"91501"</f>
        <v>91501</v>
      </c>
      <c r="B4645" s="1" t="str">
        <f>"31084"</f>
        <v>31084</v>
      </c>
      <c r="C4645" s="1" t="str">
        <f>"BURBANK"</f>
        <v>BURBANK</v>
      </c>
      <c r="D4645" s="1" t="str">
        <f t="shared" si="353"/>
        <v>CA</v>
      </c>
      <c r="E4645" s="2">
        <v>1</v>
      </c>
      <c r="F4645" s="2">
        <v>1</v>
      </c>
      <c r="G4645" s="2">
        <v>1</v>
      </c>
      <c r="H4645" s="2">
        <v>1</v>
      </c>
    </row>
    <row r="4646" spans="1:8" x14ac:dyDescent="0.25">
      <c r="A4646" s="1" t="str">
        <f>"90746"</f>
        <v>90746</v>
      </c>
      <c r="B4646" s="1" t="str">
        <f>"31084"</f>
        <v>31084</v>
      </c>
      <c r="C4646" s="1" t="str">
        <f>"CARSON"</f>
        <v>CARSON</v>
      </c>
      <c r="D4646" s="1" t="str">
        <f t="shared" si="353"/>
        <v>CA</v>
      </c>
      <c r="E4646" s="2">
        <v>1</v>
      </c>
      <c r="F4646" s="2">
        <v>1</v>
      </c>
      <c r="G4646" s="2">
        <v>1</v>
      </c>
      <c r="H4646" s="2">
        <v>1</v>
      </c>
    </row>
    <row r="4647" spans="1:8" x14ac:dyDescent="0.25">
      <c r="A4647" s="1" t="str">
        <f>"91205"</f>
        <v>91205</v>
      </c>
      <c r="B4647" s="1" t="str">
        <f>"31084"</f>
        <v>31084</v>
      </c>
      <c r="C4647" s="1" t="str">
        <f>"GLENDALE"</f>
        <v>GLENDALE</v>
      </c>
      <c r="D4647" s="1" t="str">
        <f t="shared" si="353"/>
        <v>CA</v>
      </c>
      <c r="E4647" s="2">
        <v>1</v>
      </c>
      <c r="F4647" s="2">
        <v>1</v>
      </c>
      <c r="G4647" s="2">
        <v>1</v>
      </c>
      <c r="H4647" s="2">
        <v>1</v>
      </c>
    </row>
    <row r="4648" spans="1:8" x14ac:dyDescent="0.25">
      <c r="A4648" s="1" t="str">
        <f>"94062"</f>
        <v>94062</v>
      </c>
      <c r="B4648" s="1" t="str">
        <f>"41884"</f>
        <v>41884</v>
      </c>
      <c r="C4648" s="1" t="str">
        <f>"REDWOOD CITY"</f>
        <v>REDWOOD CITY</v>
      </c>
      <c r="D4648" s="1" t="str">
        <f t="shared" si="353"/>
        <v>CA</v>
      </c>
      <c r="E4648" s="2">
        <v>1</v>
      </c>
      <c r="F4648" s="2">
        <v>1</v>
      </c>
      <c r="G4648" s="2">
        <v>1</v>
      </c>
      <c r="H4648" s="2">
        <v>1</v>
      </c>
    </row>
    <row r="4649" spans="1:8" x14ac:dyDescent="0.25">
      <c r="A4649" s="1" t="str">
        <f>"94044"</f>
        <v>94044</v>
      </c>
      <c r="B4649" s="1" t="str">
        <f>"41884"</f>
        <v>41884</v>
      </c>
      <c r="C4649" s="1" t="str">
        <f>"PACIFICA"</f>
        <v>PACIFICA</v>
      </c>
      <c r="D4649" s="1" t="str">
        <f t="shared" si="353"/>
        <v>CA</v>
      </c>
      <c r="E4649" s="2">
        <v>1</v>
      </c>
      <c r="F4649" s="2">
        <v>1</v>
      </c>
      <c r="G4649" s="2">
        <v>1</v>
      </c>
      <c r="H4649" s="2">
        <v>1</v>
      </c>
    </row>
    <row r="4650" spans="1:8" x14ac:dyDescent="0.25">
      <c r="A4650" s="1" t="str">
        <f>"94015"</f>
        <v>94015</v>
      </c>
      <c r="B4650" s="1" t="str">
        <f>"41884"</f>
        <v>41884</v>
      </c>
      <c r="C4650" s="1" t="str">
        <f>"DALY CITY"</f>
        <v>DALY CITY</v>
      </c>
      <c r="D4650" s="1" t="str">
        <f t="shared" si="353"/>
        <v>CA</v>
      </c>
      <c r="E4650" s="2">
        <v>1</v>
      </c>
      <c r="F4650" s="2">
        <v>1</v>
      </c>
      <c r="G4650" s="2">
        <v>1</v>
      </c>
      <c r="H4650" s="2">
        <v>1</v>
      </c>
    </row>
    <row r="4651" spans="1:8" x14ac:dyDescent="0.25">
      <c r="A4651" s="1" t="str">
        <f>"92651"</f>
        <v>92651</v>
      </c>
      <c r="B4651" s="1" t="str">
        <f>"11244"</f>
        <v>11244</v>
      </c>
      <c r="C4651" s="1" t="str">
        <f>"LAGUNA BEACH"</f>
        <v>LAGUNA BEACH</v>
      </c>
      <c r="D4651" s="1" t="str">
        <f t="shared" si="353"/>
        <v>CA</v>
      </c>
      <c r="E4651" s="2">
        <v>1</v>
      </c>
      <c r="F4651" s="2">
        <v>1</v>
      </c>
      <c r="G4651" s="2">
        <v>1</v>
      </c>
      <c r="H4651" s="2">
        <v>1</v>
      </c>
    </row>
    <row r="4652" spans="1:8" x14ac:dyDescent="0.25">
      <c r="A4652" s="1" t="str">
        <f>"94123"</f>
        <v>94123</v>
      </c>
      <c r="B4652" s="1" t="str">
        <f>"41884"</f>
        <v>41884</v>
      </c>
      <c r="C4652" s="1" t="str">
        <f>"SAN FRANCISCO"</f>
        <v>SAN FRANCISCO</v>
      </c>
      <c r="D4652" s="1" t="str">
        <f t="shared" si="353"/>
        <v>CA</v>
      </c>
      <c r="E4652" s="2">
        <v>1</v>
      </c>
      <c r="F4652" s="2">
        <v>1</v>
      </c>
      <c r="G4652" s="2">
        <v>1</v>
      </c>
      <c r="H4652" s="2">
        <v>1</v>
      </c>
    </row>
    <row r="4653" spans="1:8" x14ac:dyDescent="0.25">
      <c r="A4653" s="1" t="str">
        <f>"94526"</f>
        <v>94526</v>
      </c>
      <c r="B4653" s="1" t="str">
        <f>"36084"</f>
        <v>36084</v>
      </c>
      <c r="C4653" s="1" t="str">
        <f>"DANVILLE"</f>
        <v>DANVILLE</v>
      </c>
      <c r="D4653" s="1" t="str">
        <f t="shared" si="353"/>
        <v>CA</v>
      </c>
      <c r="E4653" s="2">
        <v>1</v>
      </c>
      <c r="F4653" s="2">
        <v>1</v>
      </c>
      <c r="G4653" s="2">
        <v>1</v>
      </c>
      <c r="H4653" s="2">
        <v>1</v>
      </c>
    </row>
    <row r="4654" spans="1:8" x14ac:dyDescent="0.25">
      <c r="A4654" s="1" t="str">
        <f>"94131"</f>
        <v>94131</v>
      </c>
      <c r="B4654" s="1" t="str">
        <f>"41884"</f>
        <v>41884</v>
      </c>
      <c r="C4654" s="1" t="str">
        <f>"SAN FRANCISCO"</f>
        <v>SAN FRANCISCO</v>
      </c>
      <c r="D4654" s="1" t="str">
        <f t="shared" si="353"/>
        <v>CA</v>
      </c>
      <c r="E4654" s="2">
        <v>1</v>
      </c>
      <c r="F4654" s="2">
        <v>1</v>
      </c>
      <c r="G4654" s="2">
        <v>1</v>
      </c>
      <c r="H4654" s="2">
        <v>1</v>
      </c>
    </row>
    <row r="4655" spans="1:8" x14ac:dyDescent="0.25">
      <c r="A4655" s="1" t="str">
        <f>"94129"</f>
        <v>94129</v>
      </c>
      <c r="B4655" s="1" t="str">
        <f>"41884"</f>
        <v>41884</v>
      </c>
      <c r="C4655" s="1" t="str">
        <f>"SAN FRANCISCO"</f>
        <v>SAN FRANCISCO</v>
      </c>
      <c r="D4655" s="1" t="str">
        <f t="shared" si="353"/>
        <v>CA</v>
      </c>
      <c r="E4655" s="2">
        <v>1</v>
      </c>
      <c r="F4655" s="2">
        <v>1</v>
      </c>
      <c r="G4655" s="2">
        <v>1</v>
      </c>
      <c r="H4655" s="2">
        <v>1</v>
      </c>
    </row>
    <row r="4656" spans="1:8" x14ac:dyDescent="0.25">
      <c r="A4656" s="1" t="str">
        <f>"94564"</f>
        <v>94564</v>
      </c>
      <c r="B4656" s="1" t="str">
        <f>"36084"</f>
        <v>36084</v>
      </c>
      <c r="C4656" s="1" t="str">
        <f>"PINOLE"</f>
        <v>PINOLE</v>
      </c>
      <c r="D4656" s="1" t="str">
        <f t="shared" si="353"/>
        <v>CA</v>
      </c>
      <c r="E4656" s="2">
        <v>1</v>
      </c>
      <c r="F4656" s="2">
        <v>1</v>
      </c>
      <c r="G4656" s="2">
        <v>1</v>
      </c>
      <c r="H4656" s="2">
        <v>1</v>
      </c>
    </row>
    <row r="4657" spans="1:8" x14ac:dyDescent="0.25">
      <c r="A4657" s="1" t="str">
        <f>"94705"</f>
        <v>94705</v>
      </c>
      <c r="B4657" s="1" t="str">
        <f>"36084"</f>
        <v>36084</v>
      </c>
      <c r="C4657" s="1" t="str">
        <f>"BERKELEY"</f>
        <v>BERKELEY</v>
      </c>
      <c r="D4657" s="1" t="str">
        <f t="shared" si="353"/>
        <v>CA</v>
      </c>
      <c r="E4657" s="2">
        <v>1</v>
      </c>
      <c r="F4657" s="2">
        <v>1</v>
      </c>
      <c r="G4657" s="2">
        <v>1</v>
      </c>
      <c r="H4657" s="2">
        <v>1</v>
      </c>
    </row>
    <row r="4658" spans="1:8" x14ac:dyDescent="0.25">
      <c r="A4658" s="1" t="str">
        <f>"98006"</f>
        <v>98006</v>
      </c>
      <c r="B4658" s="1" t="str">
        <f>"42644"</f>
        <v>42644</v>
      </c>
      <c r="C4658" s="1" t="str">
        <f>"BELLEVUE"</f>
        <v>BELLEVUE</v>
      </c>
      <c r="D4658" s="1" t="str">
        <f t="shared" ref="D4658:D4663" si="354">"WA"</f>
        <v>WA</v>
      </c>
      <c r="E4658" s="2">
        <v>1</v>
      </c>
      <c r="F4658" s="2">
        <v>1</v>
      </c>
      <c r="G4658" s="2">
        <v>1</v>
      </c>
      <c r="H4658" s="2">
        <v>1</v>
      </c>
    </row>
    <row r="4659" spans="1:8" x14ac:dyDescent="0.25">
      <c r="A4659" s="1" t="str">
        <f>"98037"</f>
        <v>98037</v>
      </c>
      <c r="B4659" s="1" t="str">
        <f>"42644"</f>
        <v>42644</v>
      </c>
      <c r="C4659" s="1" t="str">
        <f>"LYNNWOOD"</f>
        <v>LYNNWOOD</v>
      </c>
      <c r="D4659" s="1" t="str">
        <f t="shared" si="354"/>
        <v>WA</v>
      </c>
      <c r="E4659" s="2">
        <v>1</v>
      </c>
      <c r="F4659" s="2">
        <v>1</v>
      </c>
      <c r="G4659" s="2">
        <v>1</v>
      </c>
      <c r="H4659" s="2">
        <v>1</v>
      </c>
    </row>
    <row r="4660" spans="1:8" x14ac:dyDescent="0.25">
      <c r="A4660" s="1" t="str">
        <f>"98402"</f>
        <v>98402</v>
      </c>
      <c r="B4660" s="1" t="str">
        <f>"45104"</f>
        <v>45104</v>
      </c>
      <c r="C4660" s="1" t="str">
        <f>"TACOMA"</f>
        <v>TACOMA</v>
      </c>
      <c r="D4660" s="1" t="str">
        <f t="shared" si="354"/>
        <v>WA</v>
      </c>
      <c r="E4660" s="2">
        <v>1</v>
      </c>
      <c r="F4660" s="2">
        <v>1</v>
      </c>
      <c r="G4660" s="2">
        <v>1</v>
      </c>
      <c r="H4660" s="2">
        <v>1</v>
      </c>
    </row>
    <row r="4661" spans="1:8" x14ac:dyDescent="0.25">
      <c r="A4661" s="1" t="str">
        <f>"98351"</f>
        <v>98351</v>
      </c>
      <c r="B4661" s="1" t="str">
        <f>"45104"</f>
        <v>45104</v>
      </c>
      <c r="C4661" s="1" t="str">
        <f>"LONGBRANCH"</f>
        <v>LONGBRANCH</v>
      </c>
      <c r="D4661" s="1" t="str">
        <f t="shared" si="354"/>
        <v>WA</v>
      </c>
      <c r="E4661" s="2">
        <v>1</v>
      </c>
      <c r="F4661" s="2">
        <v>1</v>
      </c>
      <c r="G4661" s="2">
        <v>1</v>
      </c>
      <c r="H4661" s="2">
        <v>1</v>
      </c>
    </row>
    <row r="4662" spans="1:8" x14ac:dyDescent="0.25">
      <c r="A4662" s="1" t="str">
        <f>"98107"</f>
        <v>98107</v>
      </c>
      <c r="B4662" s="1" t="str">
        <f>"42644"</f>
        <v>42644</v>
      </c>
      <c r="C4662" s="1" t="str">
        <f>"SEATTLE"</f>
        <v>SEATTLE</v>
      </c>
      <c r="D4662" s="1" t="str">
        <f t="shared" si="354"/>
        <v>WA</v>
      </c>
      <c r="E4662" s="2">
        <v>1</v>
      </c>
      <c r="F4662" s="2">
        <v>1</v>
      </c>
      <c r="G4662" s="2">
        <v>1</v>
      </c>
      <c r="H4662" s="2">
        <v>1</v>
      </c>
    </row>
    <row r="4663" spans="1:8" x14ac:dyDescent="0.25">
      <c r="A4663" s="1" t="str">
        <f>"98093"</f>
        <v>98093</v>
      </c>
      <c r="B4663" s="1" t="str">
        <f>"42644"</f>
        <v>42644</v>
      </c>
      <c r="C4663" s="1" t="str">
        <f>"FEDERAL WAY"</f>
        <v>FEDERAL WAY</v>
      </c>
      <c r="D4663" s="1" t="str">
        <f t="shared" si="354"/>
        <v>WA</v>
      </c>
      <c r="E4663" s="2">
        <v>1</v>
      </c>
      <c r="F4663" s="2">
        <v>1</v>
      </c>
      <c r="G4663" s="2">
        <v>1</v>
      </c>
      <c r="H4663" s="2">
        <v>1</v>
      </c>
    </row>
    <row r="4664" spans="1:8" x14ac:dyDescent="0.25">
      <c r="A4664" s="1" t="str">
        <f>"01969"</f>
        <v>01969</v>
      </c>
      <c r="B4664" s="1" t="str">
        <f>"15764"</f>
        <v>15764</v>
      </c>
      <c r="C4664" s="1" t="str">
        <f>"ROWLEY"</f>
        <v>ROWLEY</v>
      </c>
      <c r="D4664" s="1" t="str">
        <f>"MA"</f>
        <v>MA</v>
      </c>
      <c r="E4664" s="2">
        <v>1</v>
      </c>
      <c r="F4664" s="2">
        <v>1</v>
      </c>
      <c r="G4664" s="2">
        <v>1</v>
      </c>
      <c r="H4664" s="2">
        <v>1</v>
      </c>
    </row>
    <row r="4665" spans="1:8" x14ac:dyDescent="0.25">
      <c r="A4665" s="1" t="str">
        <f>"10984"</f>
        <v>10984</v>
      </c>
      <c r="B4665" s="1" t="str">
        <f>"35614"</f>
        <v>35614</v>
      </c>
      <c r="C4665" s="1" t="str">
        <f>"THIELLS"</f>
        <v>THIELLS</v>
      </c>
      <c r="D4665" s="1" t="str">
        <f>"NY"</f>
        <v>NY</v>
      </c>
      <c r="E4665" s="2">
        <v>1</v>
      </c>
      <c r="F4665" s="2">
        <v>1</v>
      </c>
      <c r="G4665" s="2">
        <v>1</v>
      </c>
      <c r="H4665" s="2">
        <v>1</v>
      </c>
    </row>
    <row r="4666" spans="1:8" x14ac:dyDescent="0.25">
      <c r="A4666" s="1" t="str">
        <f>"20044"</f>
        <v>20044</v>
      </c>
      <c r="B4666" s="1" t="str">
        <f>"47894"</f>
        <v>47894</v>
      </c>
      <c r="C4666" s="1" t="str">
        <f>"WASHINGTON"</f>
        <v>WASHINGTON</v>
      </c>
      <c r="D4666" s="1" t="str">
        <f>"DC"</f>
        <v>DC</v>
      </c>
      <c r="E4666" s="2">
        <v>1</v>
      </c>
      <c r="F4666" s="2">
        <v>1</v>
      </c>
      <c r="G4666" s="2">
        <v>1</v>
      </c>
      <c r="H4666" s="2">
        <v>1</v>
      </c>
    </row>
    <row r="4667" spans="1:8" x14ac:dyDescent="0.25">
      <c r="A4667" s="1" t="str">
        <f>"22718"</f>
        <v>22718</v>
      </c>
      <c r="B4667" s="1" t="str">
        <f>"47894"</f>
        <v>47894</v>
      </c>
      <c r="C4667" s="1" t="str">
        <f>"ELKWOOD"</f>
        <v>ELKWOOD</v>
      </c>
      <c r="D4667" s="1" t="str">
        <f>"VA"</f>
        <v>VA</v>
      </c>
      <c r="E4667" s="2">
        <v>1</v>
      </c>
      <c r="F4667" s="2">
        <v>1</v>
      </c>
      <c r="G4667" s="2">
        <v>1</v>
      </c>
      <c r="H4667" s="2">
        <v>1</v>
      </c>
    </row>
    <row r="4668" spans="1:8" x14ac:dyDescent="0.25">
      <c r="A4668" s="1" t="str">
        <f>"33242"</f>
        <v>33242</v>
      </c>
      <c r="B4668" s="1" t="str">
        <f>"33124"</f>
        <v>33124</v>
      </c>
      <c r="C4668" s="1" t="str">
        <f>"MIAMI"</f>
        <v>MIAMI</v>
      </c>
      <c r="D4668" s="1" t="str">
        <f>"FL"</f>
        <v>FL</v>
      </c>
      <c r="E4668" s="2">
        <v>1</v>
      </c>
      <c r="F4668" s="2">
        <v>1</v>
      </c>
      <c r="G4668" s="2">
        <v>1</v>
      </c>
      <c r="H4668" s="2">
        <v>1</v>
      </c>
    </row>
    <row r="4669" spans="1:8" x14ac:dyDescent="0.25">
      <c r="A4669" s="1" t="str">
        <f>"33222"</f>
        <v>33222</v>
      </c>
      <c r="B4669" s="1" t="str">
        <f>"33124"</f>
        <v>33124</v>
      </c>
      <c r="C4669" s="1" t="str">
        <f>"MIAMI"</f>
        <v>MIAMI</v>
      </c>
      <c r="D4669" s="1" t="str">
        <f>"FL"</f>
        <v>FL</v>
      </c>
      <c r="E4669" s="2">
        <v>1</v>
      </c>
      <c r="F4669" s="2">
        <v>1</v>
      </c>
      <c r="G4669" s="2">
        <v>1</v>
      </c>
      <c r="H4669" s="2">
        <v>1</v>
      </c>
    </row>
    <row r="4670" spans="1:8" x14ac:dyDescent="0.25">
      <c r="A4670" s="1" t="str">
        <f>"76113"</f>
        <v>76113</v>
      </c>
      <c r="B4670" s="1" t="str">
        <f>"23104"</f>
        <v>23104</v>
      </c>
      <c r="C4670" s="1" t="str">
        <f>"FORT WORTH"</f>
        <v>FORT WORTH</v>
      </c>
      <c r="D4670" s="1" t="str">
        <f>"TX"</f>
        <v>TX</v>
      </c>
      <c r="E4670" s="2">
        <v>1</v>
      </c>
      <c r="F4670" s="2">
        <v>1</v>
      </c>
      <c r="G4670" s="2">
        <v>1</v>
      </c>
      <c r="H4670" s="2">
        <v>1</v>
      </c>
    </row>
    <row r="4671" spans="1:8" x14ac:dyDescent="0.25">
      <c r="A4671" s="1" t="str">
        <f>"90054"</f>
        <v>90054</v>
      </c>
      <c r="B4671" s="1" t="str">
        <f>"31084"</f>
        <v>31084</v>
      </c>
      <c r="C4671" s="1" t="str">
        <f>"LOS ANGELES"</f>
        <v>LOS ANGELES</v>
      </c>
      <c r="D4671" s="1" t="str">
        <f>"CA"</f>
        <v>CA</v>
      </c>
      <c r="E4671" s="2">
        <v>1</v>
      </c>
      <c r="F4671" s="2">
        <v>1</v>
      </c>
      <c r="G4671" s="2">
        <v>1</v>
      </c>
      <c r="H4671" s="2">
        <v>1</v>
      </c>
    </row>
    <row r="4672" spans="1:8" x14ac:dyDescent="0.25">
      <c r="A4672" s="1" t="str">
        <f>"98394"</f>
        <v>98394</v>
      </c>
      <c r="B4672" s="1" t="str">
        <f>"45104"</f>
        <v>45104</v>
      </c>
      <c r="C4672" s="1" t="str">
        <f>"VAUGHN"</f>
        <v>VAUGHN</v>
      </c>
      <c r="D4672" s="1" t="str">
        <f>"WA"</f>
        <v>WA</v>
      </c>
      <c r="E4672" s="2">
        <v>1</v>
      </c>
      <c r="F4672" s="2">
        <v>1</v>
      </c>
      <c r="G4672" s="2">
        <v>1</v>
      </c>
      <c r="H4672" s="2">
        <v>1</v>
      </c>
    </row>
    <row r="4673" spans="1:8" x14ac:dyDescent="0.25">
      <c r="A4673" s="1" t="str">
        <f>"19110"</f>
        <v>19110</v>
      </c>
      <c r="B4673" s="1" t="str">
        <f>"37964"</f>
        <v>37964</v>
      </c>
      <c r="C4673" s="1" t="str">
        <f>"PHILADELPHIA"</f>
        <v>PHILADELPHIA</v>
      </c>
      <c r="D4673" s="1" t="str">
        <f>"PA"</f>
        <v>PA</v>
      </c>
      <c r="E4673" s="2">
        <v>1</v>
      </c>
      <c r="F4673" s="2">
        <v>1</v>
      </c>
      <c r="G4673" s="2">
        <v>1</v>
      </c>
      <c r="H4673" s="2">
        <v>1</v>
      </c>
    </row>
    <row r="4674" spans="1:8" x14ac:dyDescent="0.25">
      <c r="A4674" s="1" t="str">
        <f>"20373"</f>
        <v>20373</v>
      </c>
      <c r="B4674" s="1" t="str">
        <f>"47894"</f>
        <v>47894</v>
      </c>
      <c r="C4674" s="1" t="str">
        <f>"NAVAL ANACOST ANNEX"</f>
        <v>NAVAL ANACOST ANNEX</v>
      </c>
      <c r="D4674" s="1" t="str">
        <f>"DC"</f>
        <v>DC</v>
      </c>
      <c r="E4674" s="2">
        <v>0</v>
      </c>
      <c r="F4674" s="2">
        <v>1</v>
      </c>
      <c r="G4674" s="2">
        <v>1</v>
      </c>
      <c r="H4674" s="2">
        <v>1</v>
      </c>
    </row>
    <row r="4675" spans="1:8" x14ac:dyDescent="0.25">
      <c r="A4675" s="1" t="str">
        <f>"20752"</f>
        <v>20752</v>
      </c>
      <c r="B4675" s="1" t="str">
        <f>"47894"</f>
        <v>47894</v>
      </c>
      <c r="C4675" s="1" t="str">
        <f>"SUITLAND"</f>
        <v>SUITLAND</v>
      </c>
      <c r="D4675" s="1" t="str">
        <f>"MD"</f>
        <v>MD</v>
      </c>
      <c r="E4675" s="2">
        <v>1</v>
      </c>
      <c r="F4675" s="2">
        <v>1</v>
      </c>
      <c r="G4675" s="2">
        <v>1</v>
      </c>
      <c r="H4675" s="2">
        <v>1</v>
      </c>
    </row>
    <row r="4676" spans="1:8" x14ac:dyDescent="0.25">
      <c r="A4676" s="1" t="str">
        <f>"53170"</f>
        <v>53170</v>
      </c>
      <c r="B4676" s="1" t="str">
        <f>"29404"</f>
        <v>29404</v>
      </c>
      <c r="C4676" s="1" t="str">
        <f>"SILVER LAKE"</f>
        <v>SILVER LAKE</v>
      </c>
      <c r="D4676" s="1" t="str">
        <f>"WI"</f>
        <v>WI</v>
      </c>
      <c r="E4676" s="2">
        <v>1</v>
      </c>
      <c r="F4676" s="2">
        <v>1</v>
      </c>
      <c r="G4676" s="2">
        <v>1</v>
      </c>
      <c r="H4676" s="2">
        <v>1</v>
      </c>
    </row>
    <row r="4677" spans="1:8" x14ac:dyDescent="0.25">
      <c r="A4677" s="1" t="str">
        <f>"60408"</f>
        <v>60408</v>
      </c>
      <c r="B4677" s="1" t="str">
        <f>"16984"</f>
        <v>16984</v>
      </c>
      <c r="C4677" s="1" t="str">
        <f>"BRAIDWOOD"</f>
        <v>BRAIDWOOD</v>
      </c>
      <c r="D4677" s="1" t="str">
        <f>"IL"</f>
        <v>IL</v>
      </c>
      <c r="E4677" s="2">
        <v>1</v>
      </c>
      <c r="F4677" s="2">
        <v>1</v>
      </c>
      <c r="G4677" s="2">
        <v>1</v>
      </c>
      <c r="H4677" s="2">
        <v>1</v>
      </c>
    </row>
    <row r="4678" spans="1:8" x14ac:dyDescent="0.25">
      <c r="A4678" s="1" t="str">
        <f>"91353"</f>
        <v>91353</v>
      </c>
      <c r="B4678" s="1" t="str">
        <f>"31084"</f>
        <v>31084</v>
      </c>
      <c r="C4678" s="1" t="str">
        <f>"SUN VALLEY"</f>
        <v>SUN VALLEY</v>
      </c>
      <c r="D4678" s="1" t="str">
        <f>"CA"</f>
        <v>CA</v>
      </c>
      <c r="E4678" s="2">
        <v>1</v>
      </c>
      <c r="F4678" s="2">
        <v>1</v>
      </c>
      <c r="G4678" s="2">
        <v>1</v>
      </c>
      <c r="H4678" s="2">
        <v>1</v>
      </c>
    </row>
    <row r="4679" spans="1:8" x14ac:dyDescent="0.25">
      <c r="A4679" s="1" t="str">
        <f>"98385"</f>
        <v>98385</v>
      </c>
      <c r="B4679" s="1" t="str">
        <f>"45104"</f>
        <v>45104</v>
      </c>
      <c r="C4679" s="1" t="str">
        <f>"SOUTH PRAIRIE"</f>
        <v>SOUTH PRAIRIE</v>
      </c>
      <c r="D4679" s="1" t="str">
        <f>"WA"</f>
        <v>WA</v>
      </c>
      <c r="E4679" s="2">
        <v>1</v>
      </c>
      <c r="F4679" s="2">
        <v>1</v>
      </c>
      <c r="G4679" s="2">
        <v>1</v>
      </c>
      <c r="H4679" s="2">
        <v>1</v>
      </c>
    </row>
    <row r="4680" spans="1:8" x14ac:dyDescent="0.25">
      <c r="A4680" s="1" t="str">
        <f>"03073"</f>
        <v>03073</v>
      </c>
      <c r="B4680" s="1" t="str">
        <f>"40484"</f>
        <v>40484</v>
      </c>
      <c r="C4680" s="1" t="str">
        <f>"NORTH SALEM"</f>
        <v>NORTH SALEM</v>
      </c>
      <c r="D4680" s="1" t="str">
        <f>"NH"</f>
        <v>NH</v>
      </c>
      <c r="E4680" s="2">
        <v>1</v>
      </c>
      <c r="F4680" s="2">
        <v>1</v>
      </c>
      <c r="G4680" s="2">
        <v>1</v>
      </c>
      <c r="H4680" s="2">
        <v>1</v>
      </c>
    </row>
    <row r="4681" spans="1:8" x14ac:dyDescent="0.25">
      <c r="A4681" s="1" t="str">
        <f>"08828"</f>
        <v>08828</v>
      </c>
      <c r="B4681" s="1" t="str">
        <f>"35154"</f>
        <v>35154</v>
      </c>
      <c r="C4681" s="1" t="str">
        <f>"HELMETTA"</f>
        <v>HELMETTA</v>
      </c>
      <c r="D4681" s="1" t="str">
        <f>"NJ"</f>
        <v>NJ</v>
      </c>
      <c r="E4681" s="2">
        <v>1</v>
      </c>
      <c r="F4681" s="2">
        <v>1</v>
      </c>
      <c r="G4681" s="2">
        <v>1</v>
      </c>
      <c r="H4681" s="2">
        <v>1</v>
      </c>
    </row>
    <row r="4682" spans="1:8" x14ac:dyDescent="0.25">
      <c r="A4682" s="1" t="str">
        <f>"19437"</f>
        <v>19437</v>
      </c>
      <c r="B4682" s="1" t="str">
        <f>"33874"</f>
        <v>33874</v>
      </c>
      <c r="C4682" s="1" t="str">
        <f>"GWYNEDD VALLEY"</f>
        <v>GWYNEDD VALLEY</v>
      </c>
      <c r="D4682" s="1" t="str">
        <f>"PA"</f>
        <v>PA</v>
      </c>
      <c r="E4682" s="2">
        <v>1</v>
      </c>
      <c r="F4682" s="2">
        <v>1</v>
      </c>
      <c r="G4682" s="2">
        <v>1</v>
      </c>
      <c r="H4682" s="2">
        <v>1</v>
      </c>
    </row>
    <row r="4683" spans="1:8" x14ac:dyDescent="0.25">
      <c r="A4683" s="1" t="str">
        <f>"20885"</f>
        <v>20885</v>
      </c>
      <c r="B4683" s="1" t="str">
        <f>"23224"</f>
        <v>23224</v>
      </c>
      <c r="C4683" s="1" t="str">
        <f>"GAITHERSBURG"</f>
        <v>GAITHERSBURG</v>
      </c>
      <c r="D4683" s="1" t="str">
        <f>"MD"</f>
        <v>MD</v>
      </c>
      <c r="E4683" s="2">
        <v>1</v>
      </c>
      <c r="F4683" s="2">
        <v>1</v>
      </c>
      <c r="G4683" s="2">
        <v>1</v>
      </c>
      <c r="H4683" s="2">
        <v>1</v>
      </c>
    </row>
    <row r="4684" spans="1:8" x14ac:dyDescent="0.25">
      <c r="A4684" s="1" t="str">
        <f>"03858"</f>
        <v>03858</v>
      </c>
      <c r="B4684" s="1" t="str">
        <f>"40484"</f>
        <v>40484</v>
      </c>
      <c r="C4684" s="1" t="str">
        <f>"NEWTON"</f>
        <v>NEWTON</v>
      </c>
      <c r="D4684" s="1" t="str">
        <f>"NH"</f>
        <v>NH</v>
      </c>
      <c r="E4684" s="2">
        <v>1</v>
      </c>
      <c r="F4684" s="2">
        <v>1</v>
      </c>
      <c r="G4684" s="2">
        <v>1</v>
      </c>
      <c r="H4684" s="2">
        <v>1</v>
      </c>
    </row>
    <row r="4685" spans="1:8" x14ac:dyDescent="0.25">
      <c r="A4685" s="1" t="str">
        <f>"07608"</f>
        <v>07608</v>
      </c>
      <c r="B4685" s="1" t="str">
        <f>"35614"</f>
        <v>35614</v>
      </c>
      <c r="C4685" s="1" t="str">
        <f>"TETERBORO"</f>
        <v>TETERBORO</v>
      </c>
      <c r="D4685" s="1" t="str">
        <f>"NJ"</f>
        <v>NJ</v>
      </c>
      <c r="E4685" s="2">
        <v>1</v>
      </c>
      <c r="F4685" s="2">
        <v>1</v>
      </c>
      <c r="G4685" s="2">
        <v>1</v>
      </c>
      <c r="H4685" s="2">
        <v>1</v>
      </c>
    </row>
    <row r="4686" spans="1:8" x14ac:dyDescent="0.25">
      <c r="A4686" s="1" t="str">
        <f>"19442"</f>
        <v>19442</v>
      </c>
      <c r="B4686" s="1" t="str">
        <f>"33874"</f>
        <v>33874</v>
      </c>
      <c r="C4686" s="1" t="str">
        <f>"KIMBERTON"</f>
        <v>KIMBERTON</v>
      </c>
      <c r="D4686" s="1" t="str">
        <f>"PA"</f>
        <v>PA</v>
      </c>
      <c r="E4686" s="2">
        <v>1</v>
      </c>
      <c r="F4686" s="2">
        <v>1</v>
      </c>
      <c r="G4686" s="2">
        <v>1</v>
      </c>
      <c r="H4686" s="2">
        <v>1</v>
      </c>
    </row>
    <row r="4687" spans="1:8" x14ac:dyDescent="0.25">
      <c r="A4687" s="1" t="str">
        <f>"22215"</f>
        <v>22215</v>
      </c>
      <c r="B4687" s="1" t="str">
        <f>"47894"</f>
        <v>47894</v>
      </c>
      <c r="C4687" s="1" t="str">
        <f>"ARLINGTON"</f>
        <v>ARLINGTON</v>
      </c>
      <c r="D4687" s="1" t="str">
        <f>"VA"</f>
        <v>VA</v>
      </c>
      <c r="E4687" s="2">
        <v>1</v>
      </c>
      <c r="F4687" s="2">
        <v>1</v>
      </c>
      <c r="G4687" s="2">
        <v>1</v>
      </c>
      <c r="H4687" s="2">
        <v>1</v>
      </c>
    </row>
    <row r="4688" spans="1:8" x14ac:dyDescent="0.25">
      <c r="A4688" s="1" t="str">
        <f>"92816"</f>
        <v>92816</v>
      </c>
      <c r="B4688" s="1" t="str">
        <f>"11244"</f>
        <v>11244</v>
      </c>
      <c r="C4688" s="1" t="str">
        <f>"ANAHEIM"</f>
        <v>ANAHEIM</v>
      </c>
      <c r="D4688" s="1" t="str">
        <f>"CA"</f>
        <v>CA</v>
      </c>
      <c r="E4688" s="2">
        <v>1</v>
      </c>
      <c r="F4688" s="2">
        <v>1</v>
      </c>
      <c r="G4688" s="2">
        <v>1</v>
      </c>
      <c r="H4688" s="2">
        <v>1</v>
      </c>
    </row>
    <row r="4689" spans="1:8" x14ac:dyDescent="0.25">
      <c r="A4689" s="1" t="str">
        <f>"94128"</f>
        <v>94128</v>
      </c>
      <c r="B4689" s="1" t="str">
        <f>"41884"</f>
        <v>41884</v>
      </c>
      <c r="C4689" s="1" t="str">
        <f>"SAN FRANCISCO"</f>
        <v>SAN FRANCISCO</v>
      </c>
      <c r="D4689" s="1" t="str">
        <f>"CA"</f>
        <v>CA</v>
      </c>
      <c r="E4689" s="2">
        <v>1</v>
      </c>
      <c r="F4689" s="2">
        <v>1</v>
      </c>
      <c r="G4689" s="2">
        <v>1</v>
      </c>
      <c r="H4689" s="2">
        <v>1</v>
      </c>
    </row>
    <row r="4690" spans="1:8" x14ac:dyDescent="0.25">
      <c r="A4690" s="1" t="str">
        <f>"60204"</f>
        <v>60204</v>
      </c>
      <c r="B4690" s="1" t="str">
        <f>"16984"</f>
        <v>16984</v>
      </c>
      <c r="C4690" s="1" t="str">
        <f>"EVANSTON"</f>
        <v>EVANSTON</v>
      </c>
      <c r="D4690" s="1" t="str">
        <f>"IL"</f>
        <v>IL</v>
      </c>
      <c r="E4690" s="2">
        <v>1</v>
      </c>
      <c r="F4690" s="2">
        <v>1</v>
      </c>
      <c r="G4690" s="2">
        <v>1</v>
      </c>
      <c r="H4690" s="2">
        <v>1</v>
      </c>
    </row>
    <row r="4691" spans="1:8" x14ac:dyDescent="0.25">
      <c r="A4691" s="1" t="str">
        <f>"10170"</f>
        <v>10170</v>
      </c>
      <c r="B4691" s="1" t="str">
        <f>"35614"</f>
        <v>35614</v>
      </c>
      <c r="C4691" s="1" t="str">
        <f>"NEW YORK"</f>
        <v>NEW YORK</v>
      </c>
      <c r="D4691" s="1" t="str">
        <f>"NY"</f>
        <v>NY</v>
      </c>
      <c r="E4691" s="2">
        <v>0</v>
      </c>
      <c r="F4691" s="2">
        <v>1</v>
      </c>
      <c r="G4691" s="2">
        <v>1</v>
      </c>
      <c r="H4691" s="2">
        <v>1</v>
      </c>
    </row>
    <row r="4692" spans="1:8" x14ac:dyDescent="0.25">
      <c r="A4692" s="1" t="str">
        <f>"20239"</f>
        <v>20239</v>
      </c>
      <c r="B4692" s="1" t="str">
        <f>"47894"</f>
        <v>47894</v>
      </c>
      <c r="C4692" s="1" t="str">
        <f>"WASHINGTON"</f>
        <v>WASHINGTON</v>
      </c>
      <c r="D4692" s="1" t="str">
        <f>"DC"</f>
        <v>DC</v>
      </c>
      <c r="E4692" s="2">
        <v>0</v>
      </c>
      <c r="F4692" s="2">
        <v>1</v>
      </c>
      <c r="G4692" s="2">
        <v>1</v>
      </c>
      <c r="H4692" s="2">
        <v>1</v>
      </c>
    </row>
    <row r="4693" spans="1:8" x14ac:dyDescent="0.25">
      <c r="A4693" s="1" t="str">
        <f>"11256"</f>
        <v>11256</v>
      </c>
      <c r="B4693" s="1" t="str">
        <f>"35614"</f>
        <v>35614</v>
      </c>
      <c r="C4693" s="1" t="str">
        <f>"BROOKLYN"</f>
        <v>BROOKLYN</v>
      </c>
      <c r="D4693" s="1" t="str">
        <f>"NY"</f>
        <v>NY</v>
      </c>
      <c r="E4693" s="2">
        <v>0</v>
      </c>
      <c r="F4693" s="2">
        <v>1</v>
      </c>
      <c r="G4693" s="2">
        <v>1</v>
      </c>
      <c r="H4693" s="2">
        <v>1</v>
      </c>
    </row>
    <row r="4694" spans="1:8" x14ac:dyDescent="0.25">
      <c r="A4694" s="1" t="str">
        <f>"76049"</f>
        <v>76049</v>
      </c>
      <c r="B4694" s="1" t="str">
        <f>"23104"</f>
        <v>23104</v>
      </c>
      <c r="C4694" s="1" t="str">
        <f>"GRANBURY"</f>
        <v>GRANBURY</v>
      </c>
      <c r="D4694" s="1" t="str">
        <f>"TX"</f>
        <v>TX</v>
      </c>
      <c r="E4694" s="2">
        <v>1</v>
      </c>
      <c r="F4694" s="2">
        <v>1</v>
      </c>
      <c r="G4694" s="2">
        <v>0</v>
      </c>
      <c r="H4694" s="2">
        <v>1</v>
      </c>
    </row>
    <row r="4695" spans="1:8" x14ac:dyDescent="0.25">
      <c r="A4695" s="1" t="str">
        <f>"02779"</f>
        <v>02779</v>
      </c>
      <c r="B4695" s="1" t="str">
        <f>"14454"</f>
        <v>14454</v>
      </c>
      <c r="C4695" s="1" t="str">
        <f>"BERKLEY"</f>
        <v>BERKLEY</v>
      </c>
      <c r="D4695" s="1" t="str">
        <f>"MA"</f>
        <v>MA</v>
      </c>
      <c r="E4695" s="2">
        <v>1</v>
      </c>
      <c r="F4695" s="2">
        <v>1</v>
      </c>
      <c r="G4695" s="2">
        <v>0</v>
      </c>
      <c r="H4695" s="2">
        <v>1</v>
      </c>
    </row>
    <row r="4696" spans="1:8" x14ac:dyDescent="0.25">
      <c r="A4696" s="1" t="str">
        <f>"19733"</f>
        <v>19733</v>
      </c>
      <c r="B4696" s="1" t="str">
        <f>"48864"</f>
        <v>48864</v>
      </c>
      <c r="C4696" s="1" t="str">
        <f>"SAINT GEORGES"</f>
        <v>SAINT GEORGES</v>
      </c>
      <c r="D4696" s="1" t="str">
        <f>"DE"</f>
        <v>DE</v>
      </c>
      <c r="E4696" s="2">
        <v>1</v>
      </c>
      <c r="F4696" s="2">
        <v>1</v>
      </c>
      <c r="G4696" s="2">
        <v>1</v>
      </c>
      <c r="H4696" s="2">
        <v>1</v>
      </c>
    </row>
    <row r="4697" spans="1:8" x14ac:dyDescent="0.25">
      <c r="A4697" s="1" t="str">
        <f>"19408"</f>
        <v>19408</v>
      </c>
      <c r="B4697" s="1" t="str">
        <f>"33874"</f>
        <v>33874</v>
      </c>
      <c r="C4697" s="1" t="str">
        <f>"EAGLEVILLE"</f>
        <v>EAGLEVILLE</v>
      </c>
      <c r="D4697" s="1" t="str">
        <f>"PA"</f>
        <v>PA</v>
      </c>
      <c r="E4697" s="2">
        <v>1</v>
      </c>
      <c r="F4697" s="2">
        <v>1</v>
      </c>
      <c r="G4697" s="2">
        <v>1</v>
      </c>
      <c r="H4697" s="2">
        <v>1</v>
      </c>
    </row>
    <row r="4698" spans="1:8" x14ac:dyDescent="0.25">
      <c r="A4698" s="1" t="str">
        <f>"11251"</f>
        <v>11251</v>
      </c>
      <c r="B4698" s="1" t="str">
        <f>"35614"</f>
        <v>35614</v>
      </c>
      <c r="C4698" s="1" t="str">
        <f>"BROOKLYN"</f>
        <v>BROOKLYN</v>
      </c>
      <c r="D4698" s="1" t="str">
        <f>"NY"</f>
        <v>NY</v>
      </c>
      <c r="E4698" s="2">
        <v>0</v>
      </c>
      <c r="F4698" s="2">
        <v>1</v>
      </c>
      <c r="G4698" s="2">
        <v>0</v>
      </c>
      <c r="H4698" s="2">
        <v>1</v>
      </c>
    </row>
    <row r="4699" spans="1:8" x14ac:dyDescent="0.25">
      <c r="A4699" s="1" t="str">
        <f>"19518"</f>
        <v>19518</v>
      </c>
      <c r="B4699" s="1" t="str">
        <f>"33874"</f>
        <v>33874</v>
      </c>
      <c r="C4699" s="1" t="str">
        <f>"DOUGLASSVILLE"</f>
        <v>DOUGLASSVILLE</v>
      </c>
      <c r="D4699" s="1" t="str">
        <f>"PA"</f>
        <v>PA</v>
      </c>
      <c r="E4699" s="2">
        <v>1</v>
      </c>
      <c r="F4699" s="2">
        <v>1</v>
      </c>
      <c r="G4699" s="2">
        <v>1</v>
      </c>
      <c r="H4699" s="2">
        <v>1</v>
      </c>
    </row>
    <row r="4700" spans="1:8" x14ac:dyDescent="0.25">
      <c r="A4700" s="1" t="str">
        <f>"94915"</f>
        <v>94915</v>
      </c>
      <c r="B4700" s="1" t="str">
        <f>"42034"</f>
        <v>42034</v>
      </c>
      <c r="C4700" s="1" t="str">
        <f>"SAN RAFAEL"</f>
        <v>SAN RAFAEL</v>
      </c>
      <c r="D4700" s="1" t="str">
        <f>"CA"</f>
        <v>CA</v>
      </c>
      <c r="E4700" s="2">
        <v>1</v>
      </c>
      <c r="F4700" s="2">
        <v>1</v>
      </c>
      <c r="G4700" s="2">
        <v>1</v>
      </c>
      <c r="H4700" s="2">
        <v>1</v>
      </c>
    </row>
    <row r="4701" spans="1:8" x14ac:dyDescent="0.25">
      <c r="A4701" s="1" t="str">
        <f>"02020"</f>
        <v>02020</v>
      </c>
      <c r="B4701" s="1" t="str">
        <f>"14454"</f>
        <v>14454</v>
      </c>
      <c r="C4701" s="1" t="str">
        <f>"BRANT ROCK"</f>
        <v>BRANT ROCK</v>
      </c>
      <c r="D4701" s="1" t="str">
        <f>"MA"</f>
        <v>MA</v>
      </c>
      <c r="E4701" s="2">
        <v>1</v>
      </c>
      <c r="F4701" s="2">
        <v>1</v>
      </c>
      <c r="G4701" s="2">
        <v>1</v>
      </c>
      <c r="H4701" s="2">
        <v>1</v>
      </c>
    </row>
    <row r="4702" spans="1:8" x14ac:dyDescent="0.25">
      <c r="A4702" s="1" t="str">
        <f>"11815"</f>
        <v>11815</v>
      </c>
      <c r="B4702" s="1" t="str">
        <f>"35004"</f>
        <v>35004</v>
      </c>
      <c r="C4702" s="1" t="str">
        <f>"HICKSVILLE"</f>
        <v>HICKSVILLE</v>
      </c>
      <c r="D4702" s="1" t="str">
        <f>"NY"</f>
        <v>NY</v>
      </c>
      <c r="E4702" s="2">
        <v>0</v>
      </c>
      <c r="F4702" s="2">
        <v>1</v>
      </c>
      <c r="G4702" s="2">
        <v>0</v>
      </c>
      <c r="H4702" s="2">
        <v>1</v>
      </c>
    </row>
    <row r="4703" spans="1:8" x14ac:dyDescent="0.25">
      <c r="A4703" s="1" t="str">
        <f>"91612"</f>
        <v>91612</v>
      </c>
      <c r="B4703" s="1" t="str">
        <f>"31084"</f>
        <v>31084</v>
      </c>
      <c r="C4703" s="1" t="str">
        <f>"NORTH HOLLYWOOD"</f>
        <v>NORTH HOLLYWOOD</v>
      </c>
      <c r="D4703" s="1" t="str">
        <f>"CA"</f>
        <v>CA</v>
      </c>
      <c r="E4703" s="2">
        <v>0</v>
      </c>
      <c r="F4703" s="2">
        <v>1</v>
      </c>
      <c r="G4703" s="2">
        <v>0</v>
      </c>
      <c r="H4703" s="2">
        <v>1</v>
      </c>
    </row>
    <row r="4704" spans="1:8" x14ac:dyDescent="0.25">
      <c r="A4704" s="1" t="str">
        <f>"10080"</f>
        <v>10080</v>
      </c>
      <c r="B4704" s="1" t="str">
        <f>"35614"</f>
        <v>35614</v>
      </c>
      <c r="C4704" s="1" t="str">
        <f>"NEW YORK"</f>
        <v>NEW YORK</v>
      </c>
      <c r="D4704" s="1" t="str">
        <f>"NY"</f>
        <v>NY</v>
      </c>
      <c r="E4704" s="2">
        <v>0</v>
      </c>
      <c r="F4704" s="2">
        <v>1</v>
      </c>
      <c r="G4704" s="2">
        <v>1</v>
      </c>
      <c r="H4704" s="2">
        <v>1</v>
      </c>
    </row>
    <row r="4705" spans="1:8" x14ac:dyDescent="0.25">
      <c r="A4705" s="1" t="str">
        <f>"94125"</f>
        <v>94125</v>
      </c>
      <c r="B4705" s="1" t="str">
        <f>"41884"</f>
        <v>41884</v>
      </c>
      <c r="C4705" s="1" t="str">
        <f>"SAN FRANCISCO"</f>
        <v>SAN FRANCISCO</v>
      </c>
      <c r="D4705" s="1" t="str">
        <f>"CA"</f>
        <v>CA</v>
      </c>
      <c r="E4705" s="2">
        <v>1</v>
      </c>
      <c r="F4705" s="2">
        <v>1</v>
      </c>
      <c r="G4705" s="2">
        <v>1</v>
      </c>
      <c r="H4705" s="2">
        <v>1</v>
      </c>
    </row>
    <row r="4706" spans="1:8" x14ac:dyDescent="0.25">
      <c r="A4706" s="1" t="str">
        <f>"07763"</f>
        <v>07763</v>
      </c>
      <c r="B4706" s="1" t="str">
        <f>"35154"</f>
        <v>35154</v>
      </c>
      <c r="C4706" s="1" t="str">
        <f>"TENNENT"</f>
        <v>TENNENT</v>
      </c>
      <c r="D4706" s="1" t="str">
        <f>"NJ"</f>
        <v>NJ</v>
      </c>
      <c r="E4706" s="2">
        <v>1</v>
      </c>
      <c r="F4706" s="2">
        <v>1</v>
      </c>
      <c r="G4706" s="2">
        <v>1</v>
      </c>
      <c r="H4706" s="2">
        <v>1</v>
      </c>
    </row>
    <row r="4707" spans="1:8" x14ac:dyDescent="0.25">
      <c r="A4707" s="1" t="str">
        <f>"22546"</f>
        <v>22546</v>
      </c>
      <c r="B4707" s="1" t="str">
        <f>"47894"</f>
        <v>47894</v>
      </c>
      <c r="C4707" s="1" t="str">
        <f>"RUTHER GLEN"</f>
        <v>RUTHER GLEN</v>
      </c>
      <c r="D4707" s="1" t="str">
        <f>"VA"</f>
        <v>VA</v>
      </c>
      <c r="E4707" s="2">
        <v>1</v>
      </c>
      <c r="F4707" s="2">
        <v>0</v>
      </c>
      <c r="G4707" s="2">
        <v>0</v>
      </c>
      <c r="H4707" s="2">
        <v>1</v>
      </c>
    </row>
    <row r="4708" spans="1:8" x14ac:dyDescent="0.25">
      <c r="A4708" s="1" t="str">
        <f>"94613"</f>
        <v>94613</v>
      </c>
      <c r="B4708" s="1" t="str">
        <f>"36084"</f>
        <v>36084</v>
      </c>
      <c r="C4708" s="1" t="str">
        <f>"OAKLAND"</f>
        <v>OAKLAND</v>
      </c>
      <c r="D4708" s="1" t="str">
        <f>"CA"</f>
        <v>CA</v>
      </c>
      <c r="E4708" s="2">
        <v>0</v>
      </c>
      <c r="F4708" s="2">
        <v>1</v>
      </c>
      <c r="G4708" s="2">
        <v>0</v>
      </c>
      <c r="H4708" s="2">
        <v>1</v>
      </c>
    </row>
    <row r="4709" spans="1:8" x14ac:dyDescent="0.25">
      <c r="A4709" s="1" t="str">
        <f>"20576"</f>
        <v>20576</v>
      </c>
      <c r="B4709" s="1" t="str">
        <f>"47894"</f>
        <v>47894</v>
      </c>
      <c r="C4709" s="1" t="str">
        <f>"WASHINGTON"</f>
        <v>WASHINGTON</v>
      </c>
      <c r="D4709" s="1" t="str">
        <f>"DC"</f>
        <v>DC</v>
      </c>
      <c r="E4709" s="2">
        <v>0</v>
      </c>
      <c r="F4709" s="2">
        <v>1</v>
      </c>
      <c r="G4709" s="2">
        <v>0</v>
      </c>
      <c r="H4709" s="2">
        <v>1</v>
      </c>
    </row>
    <row r="4710" spans="1:8" x14ac:dyDescent="0.25">
      <c r="A4710" s="1" t="str">
        <f>"22567"</f>
        <v>22567</v>
      </c>
      <c r="B4710" s="1" t="str">
        <f>"47894"</f>
        <v>47894</v>
      </c>
      <c r="C4710" s="1" t="str">
        <f>"UNIONVILLE"</f>
        <v>UNIONVILLE</v>
      </c>
      <c r="D4710" s="1" t="str">
        <f>"VA"</f>
        <v>VA</v>
      </c>
      <c r="E4710" s="2">
        <v>1</v>
      </c>
      <c r="F4710" s="2">
        <v>0</v>
      </c>
      <c r="G4710" s="2">
        <v>0</v>
      </c>
      <c r="H4710" s="2">
        <v>1</v>
      </c>
    </row>
    <row r="4711" spans="1:8" x14ac:dyDescent="0.25">
      <c r="A4711" s="1" t="str">
        <f>"22545"</f>
        <v>22545</v>
      </c>
      <c r="B4711" s="1" t="str">
        <f>"47894"</f>
        <v>47894</v>
      </c>
      <c r="C4711" s="1" t="str">
        <f>"RUBY"</f>
        <v>RUBY</v>
      </c>
      <c r="D4711" s="1" t="str">
        <f>"VA"</f>
        <v>VA</v>
      </c>
      <c r="E4711" s="2">
        <v>0</v>
      </c>
      <c r="F4711" s="2">
        <v>0</v>
      </c>
      <c r="G4711" s="2">
        <v>1</v>
      </c>
      <c r="H4711" s="2">
        <v>1</v>
      </c>
    </row>
    <row r="4712" spans="1:8" x14ac:dyDescent="0.25">
      <c r="A4712" s="1" t="str">
        <f>"07510"</f>
        <v>07510</v>
      </c>
      <c r="B4712" s="1" t="str">
        <f>"35614"</f>
        <v>35614</v>
      </c>
      <c r="C4712" s="1" t="str">
        <f>"PATERSON"</f>
        <v>PATERSON</v>
      </c>
      <c r="D4712" s="1" t="str">
        <f>"NJ"</f>
        <v>NJ</v>
      </c>
      <c r="E4712" s="2">
        <v>0</v>
      </c>
      <c r="F4712" s="2">
        <v>1</v>
      </c>
      <c r="G4712" s="2">
        <v>0</v>
      </c>
      <c r="H4712" s="2">
        <v>1</v>
      </c>
    </row>
    <row r="4713" spans="1:8" x14ac:dyDescent="0.25">
      <c r="A4713" s="1" t="str">
        <f>"91125"</f>
        <v>91125</v>
      </c>
      <c r="B4713" s="1" t="str">
        <f>"31084"</f>
        <v>31084</v>
      </c>
      <c r="C4713" s="1" t="str">
        <f>"PASADENA"</f>
        <v>PASADENA</v>
      </c>
      <c r="D4713" s="1" t="str">
        <f>"CA"</f>
        <v>CA</v>
      </c>
      <c r="E4713" s="2">
        <v>0</v>
      </c>
      <c r="F4713" s="2">
        <v>1</v>
      </c>
      <c r="G4713" s="2">
        <v>0</v>
      </c>
      <c r="H4713" s="2">
        <v>1</v>
      </c>
    </row>
    <row r="4714" spans="1:8" x14ac:dyDescent="0.25">
      <c r="A4714" s="1" t="str">
        <f>"20533"</f>
        <v>20533</v>
      </c>
      <c r="B4714" s="1" t="str">
        <f>"47894"</f>
        <v>47894</v>
      </c>
      <c r="C4714" s="1" t="str">
        <f>"WASHINGTON"</f>
        <v>WASHINGTON</v>
      </c>
      <c r="D4714" s="1" t="str">
        <f>"DC"</f>
        <v>DC</v>
      </c>
      <c r="E4714" s="2">
        <v>0</v>
      </c>
      <c r="F4714" s="2">
        <v>1</v>
      </c>
      <c r="G4714" s="2">
        <v>0</v>
      </c>
      <c r="H4714" s="2">
        <v>1</v>
      </c>
    </row>
    <row r="4715" spans="1:8" x14ac:dyDescent="0.25">
      <c r="A4715" s="1" t="str">
        <f>"75097"</f>
        <v>75097</v>
      </c>
      <c r="B4715" s="1" t="str">
        <f>"19124"</f>
        <v>19124</v>
      </c>
      <c r="C4715" s="1" t="str">
        <f>"WESTON"</f>
        <v>WESTON</v>
      </c>
      <c r="D4715" s="1" t="str">
        <f>"TX"</f>
        <v>TX</v>
      </c>
      <c r="E4715" s="2">
        <v>0</v>
      </c>
      <c r="F4715" s="2">
        <v>0</v>
      </c>
      <c r="G4715" s="2">
        <v>1</v>
      </c>
      <c r="H4715" s="2">
        <v>1</v>
      </c>
    </row>
    <row r="4716" spans="1:8" x14ac:dyDescent="0.25">
      <c r="A4716" s="1" t="str">
        <f>"91716"</f>
        <v>91716</v>
      </c>
      <c r="B4716" s="1" t="str">
        <f>"31084"</f>
        <v>31084</v>
      </c>
      <c r="C4716" s="1" t="str">
        <f>"CITY OF INDUSTRY"</f>
        <v>CITY OF INDUSTRY</v>
      </c>
      <c r="D4716" s="1" t="str">
        <f>"CA"</f>
        <v>CA</v>
      </c>
      <c r="E4716" s="2">
        <v>0</v>
      </c>
      <c r="F4716" s="2">
        <v>0</v>
      </c>
      <c r="G4716" s="2">
        <v>1</v>
      </c>
      <c r="H4716" s="2">
        <v>1</v>
      </c>
    </row>
    <row r="4717" spans="1:8" x14ac:dyDescent="0.25">
      <c r="A4717" s="1" t="str">
        <f>"75059"</f>
        <v>75059</v>
      </c>
      <c r="B4717" s="1" t="str">
        <f>"19124"</f>
        <v>19124</v>
      </c>
      <c r="C4717" s="1" t="str">
        <f>"IRVING"</f>
        <v>IRVING</v>
      </c>
      <c r="D4717" s="1" t="str">
        <f>"TX"</f>
        <v>TX</v>
      </c>
      <c r="E4717" s="2">
        <v>0</v>
      </c>
      <c r="F4717" s="2">
        <v>1</v>
      </c>
      <c r="G4717" s="2">
        <v>0</v>
      </c>
      <c r="H4717" s="2">
        <v>1</v>
      </c>
    </row>
    <row r="4718" spans="1:8" x14ac:dyDescent="0.25">
      <c r="A4718" s="1" t="str">
        <f>"07099"</f>
        <v>07099</v>
      </c>
      <c r="B4718" s="1" t="str">
        <f>"35614"</f>
        <v>35614</v>
      </c>
      <c r="C4718" s="1" t="str">
        <f>"KEARNY"</f>
        <v>KEARNY</v>
      </c>
      <c r="D4718" s="1" t="str">
        <f>"NJ"</f>
        <v>NJ</v>
      </c>
      <c r="E4718" s="2">
        <v>0</v>
      </c>
      <c r="F4718" s="2">
        <v>0</v>
      </c>
      <c r="G4718" s="2">
        <v>1</v>
      </c>
      <c r="H4718" s="2">
        <v>1</v>
      </c>
    </row>
    <row r="4719" spans="1:8" x14ac:dyDescent="0.25">
      <c r="A4719" s="1" t="str">
        <f>"01432"</f>
        <v>01432</v>
      </c>
      <c r="B4719" s="1" t="str">
        <f>"15764"</f>
        <v>15764</v>
      </c>
      <c r="C4719" s="1" t="str">
        <f>"AYER"</f>
        <v>AYER</v>
      </c>
      <c r="D4719" s="1" t="str">
        <f t="shared" ref="D4719:D4724" si="355">"MA"</f>
        <v>MA</v>
      </c>
      <c r="E4719" s="2">
        <v>1</v>
      </c>
      <c r="F4719" s="2">
        <v>1</v>
      </c>
      <c r="G4719" s="2">
        <v>1</v>
      </c>
      <c r="H4719" s="2">
        <v>1</v>
      </c>
    </row>
    <row r="4720" spans="1:8" x14ac:dyDescent="0.25">
      <c r="A4720" s="1" t="str">
        <f>"02134"</f>
        <v>02134</v>
      </c>
      <c r="B4720" s="1" t="str">
        <f>"14454"</f>
        <v>14454</v>
      </c>
      <c r="C4720" s="1" t="str">
        <f>"ALLSTON"</f>
        <v>ALLSTON</v>
      </c>
      <c r="D4720" s="1" t="str">
        <f t="shared" si="355"/>
        <v>MA</v>
      </c>
      <c r="E4720" s="2">
        <v>1</v>
      </c>
      <c r="F4720" s="2">
        <v>1</v>
      </c>
      <c r="G4720" s="2">
        <v>1</v>
      </c>
      <c r="H4720" s="2">
        <v>1</v>
      </c>
    </row>
    <row r="4721" spans="1:8" x14ac:dyDescent="0.25">
      <c r="A4721" s="1" t="str">
        <f>"02148"</f>
        <v>02148</v>
      </c>
      <c r="B4721" s="1" t="str">
        <f>"15764"</f>
        <v>15764</v>
      </c>
      <c r="C4721" s="1" t="str">
        <f>"MALDEN"</f>
        <v>MALDEN</v>
      </c>
      <c r="D4721" s="1" t="str">
        <f t="shared" si="355"/>
        <v>MA</v>
      </c>
      <c r="E4721" s="2">
        <v>0.99466173173422501</v>
      </c>
      <c r="F4721" s="2">
        <v>0.99880382775119603</v>
      </c>
      <c r="G4721" s="2">
        <v>0.98944954128440299</v>
      </c>
      <c r="H4721" s="2">
        <v>0.99452286313417404</v>
      </c>
    </row>
    <row r="4722" spans="1:8" x14ac:dyDescent="0.25">
      <c r="A4722" s="1" t="str">
        <f>"02148"</f>
        <v>02148</v>
      </c>
      <c r="B4722" s="1" t="str">
        <f>"14454"</f>
        <v>14454</v>
      </c>
      <c r="C4722" s="1" t="str">
        <f>"MALDEN"</f>
        <v>MALDEN</v>
      </c>
      <c r="D4722" s="1" t="str">
        <f t="shared" si="355"/>
        <v>MA</v>
      </c>
      <c r="E4722" s="2">
        <v>5.3382682657745796E-3</v>
      </c>
      <c r="F4722" s="2">
        <v>1.1961722488038199E-3</v>
      </c>
      <c r="G4722" s="2">
        <v>1.05504587155963E-2</v>
      </c>
      <c r="H4722" s="2">
        <v>5.47713686582579E-3</v>
      </c>
    </row>
    <row r="4723" spans="1:8" x14ac:dyDescent="0.25">
      <c r="A4723" s="1" t="str">
        <f>"02370"</f>
        <v>02370</v>
      </c>
      <c r="B4723" s="1" t="str">
        <f>"14454"</f>
        <v>14454</v>
      </c>
      <c r="C4723" s="1" t="str">
        <f>"ROCKLAND"</f>
        <v>ROCKLAND</v>
      </c>
      <c r="D4723" s="1" t="str">
        <f t="shared" si="355"/>
        <v>MA</v>
      </c>
      <c r="E4723" s="2">
        <v>1</v>
      </c>
      <c r="F4723" s="2">
        <v>1</v>
      </c>
      <c r="G4723" s="2">
        <v>1</v>
      </c>
      <c r="H4723" s="2">
        <v>1</v>
      </c>
    </row>
    <row r="4724" spans="1:8" x14ac:dyDescent="0.25">
      <c r="A4724" s="1" t="str">
        <f>"02455"</f>
        <v>02455</v>
      </c>
      <c r="B4724" s="1" t="str">
        <f>"15764"</f>
        <v>15764</v>
      </c>
      <c r="C4724" s="1" t="str">
        <f>"NORTH WALTHAM"</f>
        <v>NORTH WALTHAM</v>
      </c>
      <c r="D4724" s="1" t="str">
        <f t="shared" si="355"/>
        <v>MA</v>
      </c>
      <c r="E4724" s="2">
        <v>1</v>
      </c>
      <c r="F4724" s="2">
        <v>1</v>
      </c>
      <c r="G4724" s="2">
        <v>1</v>
      </c>
      <c r="H4724" s="2">
        <v>1</v>
      </c>
    </row>
    <row r="4725" spans="1:8" x14ac:dyDescent="0.25">
      <c r="A4725" s="1" t="str">
        <f>"03032"</f>
        <v>03032</v>
      </c>
      <c r="B4725" s="1" t="str">
        <f>"40484"</f>
        <v>40484</v>
      </c>
      <c r="C4725" s="1" t="str">
        <f>"AUBURN"</f>
        <v>AUBURN</v>
      </c>
      <c r="D4725" s="1" t="str">
        <f>"NH"</f>
        <v>NH</v>
      </c>
      <c r="E4725" s="2">
        <v>1</v>
      </c>
      <c r="F4725" s="2">
        <v>1</v>
      </c>
      <c r="G4725" s="2">
        <v>1</v>
      </c>
      <c r="H4725" s="2">
        <v>1</v>
      </c>
    </row>
    <row r="4726" spans="1:8" x14ac:dyDescent="0.25">
      <c r="A4726" s="1" t="str">
        <f>"03261"</f>
        <v>03261</v>
      </c>
      <c r="B4726" s="1" t="str">
        <f>"40484"</f>
        <v>40484</v>
      </c>
      <c r="C4726" s="1" t="str">
        <f>"NORTHWOOD"</f>
        <v>NORTHWOOD</v>
      </c>
      <c r="D4726" s="1" t="str">
        <f>"NH"</f>
        <v>NH</v>
      </c>
      <c r="E4726" s="2">
        <v>1</v>
      </c>
      <c r="F4726" s="2">
        <v>1</v>
      </c>
      <c r="G4726" s="2">
        <v>1</v>
      </c>
      <c r="H4726" s="2">
        <v>1</v>
      </c>
    </row>
    <row r="4727" spans="1:8" x14ac:dyDescent="0.25">
      <c r="A4727" s="1" t="str">
        <f>"07057"</f>
        <v>07057</v>
      </c>
      <c r="B4727" s="1" t="str">
        <f>"35614"</f>
        <v>35614</v>
      </c>
      <c r="C4727" s="1" t="str">
        <f>"WALLINGTON"</f>
        <v>WALLINGTON</v>
      </c>
      <c r="D4727" s="1" t="str">
        <f t="shared" ref="D4727:D4743" si="356">"NJ"</f>
        <v>NJ</v>
      </c>
      <c r="E4727" s="2">
        <v>1</v>
      </c>
      <c r="F4727" s="2">
        <v>1</v>
      </c>
      <c r="G4727" s="2">
        <v>1</v>
      </c>
      <c r="H4727" s="2">
        <v>1</v>
      </c>
    </row>
    <row r="4728" spans="1:8" x14ac:dyDescent="0.25">
      <c r="A4728" s="1" t="str">
        <f>"07114"</f>
        <v>07114</v>
      </c>
      <c r="B4728" s="1" t="str">
        <f>"35084"</f>
        <v>35084</v>
      </c>
      <c r="C4728" s="1" t="str">
        <f>"NEWARK"</f>
        <v>NEWARK</v>
      </c>
      <c r="D4728" s="1" t="str">
        <f t="shared" si="356"/>
        <v>NJ</v>
      </c>
      <c r="E4728" s="2">
        <v>1</v>
      </c>
      <c r="F4728" s="2">
        <v>1</v>
      </c>
      <c r="G4728" s="2">
        <v>1</v>
      </c>
      <c r="H4728" s="2">
        <v>1</v>
      </c>
    </row>
    <row r="4729" spans="1:8" x14ac:dyDescent="0.25">
      <c r="A4729" s="1" t="str">
        <f>"07201"</f>
        <v>07201</v>
      </c>
      <c r="B4729" s="1" t="str">
        <f>"35084"</f>
        <v>35084</v>
      </c>
      <c r="C4729" s="1" t="str">
        <f>"ELIZABETH"</f>
        <v>ELIZABETH</v>
      </c>
      <c r="D4729" s="1" t="str">
        <f t="shared" si="356"/>
        <v>NJ</v>
      </c>
      <c r="E4729" s="2">
        <v>1</v>
      </c>
      <c r="F4729" s="2">
        <v>1</v>
      </c>
      <c r="G4729" s="2">
        <v>1</v>
      </c>
      <c r="H4729" s="2">
        <v>1</v>
      </c>
    </row>
    <row r="4730" spans="1:8" x14ac:dyDescent="0.25">
      <c r="A4730" s="1" t="str">
        <f>"07202"</f>
        <v>07202</v>
      </c>
      <c r="B4730" s="1" t="str">
        <f>"35084"</f>
        <v>35084</v>
      </c>
      <c r="C4730" s="1" t="str">
        <f>"ELIZABETH"</f>
        <v>ELIZABETH</v>
      </c>
      <c r="D4730" s="1" t="str">
        <f t="shared" si="356"/>
        <v>NJ</v>
      </c>
      <c r="E4730" s="2">
        <v>1</v>
      </c>
      <c r="F4730" s="2">
        <v>1</v>
      </c>
      <c r="G4730" s="2">
        <v>1</v>
      </c>
      <c r="H4730" s="2">
        <v>1</v>
      </c>
    </row>
    <row r="4731" spans="1:8" x14ac:dyDescent="0.25">
      <c r="A4731" s="1" t="str">
        <f>"07435"</f>
        <v>07435</v>
      </c>
      <c r="B4731" s="1" t="str">
        <f>"35084"</f>
        <v>35084</v>
      </c>
      <c r="C4731" s="1" t="str">
        <f>"NEWFOUNDLAND"</f>
        <v>NEWFOUNDLAND</v>
      </c>
      <c r="D4731" s="1" t="str">
        <f t="shared" si="356"/>
        <v>NJ</v>
      </c>
      <c r="E4731" s="2">
        <v>0.54081632653061196</v>
      </c>
      <c r="F4731" s="2">
        <v>0.18666666666666601</v>
      </c>
      <c r="G4731" s="2">
        <v>0.45161290322580599</v>
      </c>
      <c r="H4731" s="2">
        <v>0.48192771084337299</v>
      </c>
    </row>
    <row r="4732" spans="1:8" x14ac:dyDescent="0.25">
      <c r="A4732" s="1" t="str">
        <f>"07435"</f>
        <v>07435</v>
      </c>
      <c r="B4732" s="1" t="str">
        <f>"35614"</f>
        <v>35614</v>
      </c>
      <c r="C4732" s="1" t="str">
        <f>"NEWFOUNDLAND"</f>
        <v>NEWFOUNDLAND</v>
      </c>
      <c r="D4732" s="1" t="str">
        <f t="shared" si="356"/>
        <v>NJ</v>
      </c>
      <c r="E4732" s="2">
        <v>0.45918367346938699</v>
      </c>
      <c r="F4732" s="2">
        <v>0.81333333333333302</v>
      </c>
      <c r="G4732" s="2">
        <v>0.54838709677419295</v>
      </c>
      <c r="H4732" s="2">
        <v>0.51807228915662595</v>
      </c>
    </row>
    <row r="4733" spans="1:8" x14ac:dyDescent="0.25">
      <c r="A4733" s="1" t="str">
        <f>"07405"</f>
        <v>07405</v>
      </c>
      <c r="B4733" s="1" t="str">
        <f>"35084"</f>
        <v>35084</v>
      </c>
      <c r="C4733" s="1" t="str">
        <f>"BUTLER"</f>
        <v>BUTLER</v>
      </c>
      <c r="D4733" s="1" t="str">
        <f t="shared" si="356"/>
        <v>NJ</v>
      </c>
      <c r="E4733" s="2">
        <v>1</v>
      </c>
      <c r="F4733" s="2">
        <v>1</v>
      </c>
      <c r="G4733" s="2">
        <v>1</v>
      </c>
      <c r="H4733" s="2">
        <v>1</v>
      </c>
    </row>
    <row r="4734" spans="1:8" x14ac:dyDescent="0.25">
      <c r="A4734" s="1" t="str">
        <f>"07750"</f>
        <v>07750</v>
      </c>
      <c r="B4734" s="1" t="str">
        <f>"35154"</f>
        <v>35154</v>
      </c>
      <c r="C4734" s="1" t="str">
        <f>"MONMOUTH BEACH"</f>
        <v>MONMOUTH BEACH</v>
      </c>
      <c r="D4734" s="1" t="str">
        <f t="shared" si="356"/>
        <v>NJ</v>
      </c>
      <c r="E4734" s="2">
        <v>1</v>
      </c>
      <c r="F4734" s="2">
        <v>1</v>
      </c>
      <c r="G4734" s="2">
        <v>1</v>
      </c>
      <c r="H4734" s="2">
        <v>1</v>
      </c>
    </row>
    <row r="4735" spans="1:8" x14ac:dyDescent="0.25">
      <c r="A4735" s="1" t="str">
        <f>"07936"</f>
        <v>07936</v>
      </c>
      <c r="B4735" s="1" t="str">
        <f>"35084"</f>
        <v>35084</v>
      </c>
      <c r="C4735" s="1" t="str">
        <f>"EAST HANOVER"</f>
        <v>EAST HANOVER</v>
      </c>
      <c r="D4735" s="1" t="str">
        <f t="shared" si="356"/>
        <v>NJ</v>
      </c>
      <c r="E4735" s="2">
        <v>1</v>
      </c>
      <c r="F4735" s="2">
        <v>1</v>
      </c>
      <c r="G4735" s="2">
        <v>1</v>
      </c>
      <c r="H4735" s="2">
        <v>1</v>
      </c>
    </row>
    <row r="4736" spans="1:8" x14ac:dyDescent="0.25">
      <c r="A4736" s="1" t="str">
        <f>"08036"</f>
        <v>08036</v>
      </c>
      <c r="B4736" s="1" t="str">
        <f>"15804"</f>
        <v>15804</v>
      </c>
      <c r="C4736" s="1" t="str">
        <f>"HAINESPORT"</f>
        <v>HAINESPORT</v>
      </c>
      <c r="D4736" s="1" t="str">
        <f t="shared" si="356"/>
        <v>NJ</v>
      </c>
      <c r="E4736" s="2">
        <v>1</v>
      </c>
      <c r="F4736" s="2">
        <v>1</v>
      </c>
      <c r="G4736" s="2">
        <v>1</v>
      </c>
      <c r="H4736" s="2">
        <v>1</v>
      </c>
    </row>
    <row r="4737" spans="1:8" x14ac:dyDescent="0.25">
      <c r="A4737" s="1" t="str">
        <f>"08055"</f>
        <v>08055</v>
      </c>
      <c r="B4737" s="1" t="str">
        <f>"15804"</f>
        <v>15804</v>
      </c>
      <c r="C4737" s="1" t="str">
        <f>"MEDFORD"</f>
        <v>MEDFORD</v>
      </c>
      <c r="D4737" s="1" t="str">
        <f t="shared" si="356"/>
        <v>NJ</v>
      </c>
      <c r="E4737" s="2">
        <v>1</v>
      </c>
      <c r="F4737" s="2">
        <v>1</v>
      </c>
      <c r="G4737" s="2">
        <v>1</v>
      </c>
      <c r="H4737" s="2">
        <v>1</v>
      </c>
    </row>
    <row r="4738" spans="1:8" x14ac:dyDescent="0.25">
      <c r="A4738" s="1" t="str">
        <f>"08810"</f>
        <v>08810</v>
      </c>
      <c r="B4738" s="1" t="str">
        <f t="shared" ref="B4738:B4743" si="357">"35154"</f>
        <v>35154</v>
      </c>
      <c r="C4738" s="1" t="str">
        <f>"DAYTON"</f>
        <v>DAYTON</v>
      </c>
      <c r="D4738" s="1" t="str">
        <f t="shared" si="356"/>
        <v>NJ</v>
      </c>
      <c r="E4738" s="2">
        <v>1</v>
      </c>
      <c r="F4738" s="2">
        <v>1</v>
      </c>
      <c r="G4738" s="2">
        <v>1</v>
      </c>
      <c r="H4738" s="2">
        <v>1</v>
      </c>
    </row>
    <row r="4739" spans="1:8" x14ac:dyDescent="0.25">
      <c r="A4739" s="1" t="str">
        <f>"08831"</f>
        <v>08831</v>
      </c>
      <c r="B4739" s="1" t="str">
        <f t="shared" si="357"/>
        <v>35154</v>
      </c>
      <c r="C4739" s="1" t="str">
        <f>"MONROE TOWNSHIP"</f>
        <v>MONROE TOWNSHIP</v>
      </c>
      <c r="D4739" s="1" t="str">
        <f t="shared" si="356"/>
        <v>NJ</v>
      </c>
      <c r="E4739" s="2">
        <v>1</v>
      </c>
      <c r="F4739" s="2">
        <v>1</v>
      </c>
      <c r="G4739" s="2">
        <v>1</v>
      </c>
      <c r="H4739" s="2">
        <v>1</v>
      </c>
    </row>
    <row r="4740" spans="1:8" x14ac:dyDescent="0.25">
      <c r="A4740" s="1" t="str">
        <f>"08832"</f>
        <v>08832</v>
      </c>
      <c r="B4740" s="1" t="str">
        <f t="shared" si="357"/>
        <v>35154</v>
      </c>
      <c r="C4740" s="1" t="str">
        <f>"KEASBEY"</f>
        <v>KEASBEY</v>
      </c>
      <c r="D4740" s="1" t="str">
        <f t="shared" si="356"/>
        <v>NJ</v>
      </c>
      <c r="E4740" s="2">
        <v>1</v>
      </c>
      <c r="F4740" s="2">
        <v>1</v>
      </c>
      <c r="G4740" s="2">
        <v>1</v>
      </c>
      <c r="H4740" s="2">
        <v>1</v>
      </c>
    </row>
    <row r="4741" spans="1:8" x14ac:dyDescent="0.25">
      <c r="A4741" s="1" t="str">
        <f>"08875"</f>
        <v>08875</v>
      </c>
      <c r="B4741" s="1" t="str">
        <f t="shared" si="357"/>
        <v>35154</v>
      </c>
      <c r="C4741" s="1" t="str">
        <f>"SOMERSET"</f>
        <v>SOMERSET</v>
      </c>
      <c r="D4741" s="1" t="str">
        <f t="shared" si="356"/>
        <v>NJ</v>
      </c>
      <c r="E4741" s="2">
        <v>1</v>
      </c>
      <c r="F4741" s="2">
        <v>1</v>
      </c>
      <c r="G4741" s="2">
        <v>1</v>
      </c>
      <c r="H4741" s="2">
        <v>1</v>
      </c>
    </row>
    <row r="4742" spans="1:8" x14ac:dyDescent="0.25">
      <c r="A4742" s="1" t="str">
        <f>"08869"</f>
        <v>08869</v>
      </c>
      <c r="B4742" s="1" t="str">
        <f t="shared" si="357"/>
        <v>35154</v>
      </c>
      <c r="C4742" s="1" t="str">
        <f>"RARITAN"</f>
        <v>RARITAN</v>
      </c>
      <c r="D4742" s="1" t="str">
        <f t="shared" si="356"/>
        <v>NJ</v>
      </c>
      <c r="E4742" s="2">
        <v>1</v>
      </c>
      <c r="F4742" s="2">
        <v>1</v>
      </c>
      <c r="G4742" s="2">
        <v>1</v>
      </c>
      <c r="H4742" s="2">
        <v>1</v>
      </c>
    </row>
    <row r="4743" spans="1:8" x14ac:dyDescent="0.25">
      <c r="A4743" s="1" t="str">
        <f>"08902"</f>
        <v>08902</v>
      </c>
      <c r="B4743" s="1" t="str">
        <f t="shared" si="357"/>
        <v>35154</v>
      </c>
      <c r="C4743" s="1" t="str">
        <f>"NORTH BRUNSWICK"</f>
        <v>NORTH BRUNSWICK</v>
      </c>
      <c r="D4743" s="1" t="str">
        <f t="shared" si="356"/>
        <v>NJ</v>
      </c>
      <c r="E4743" s="2">
        <v>1</v>
      </c>
      <c r="F4743" s="2">
        <v>1</v>
      </c>
      <c r="G4743" s="2">
        <v>1</v>
      </c>
      <c r="H4743" s="2">
        <v>1</v>
      </c>
    </row>
    <row r="4744" spans="1:8" x14ac:dyDescent="0.25">
      <c r="A4744" s="1" t="str">
        <f>"10032"</f>
        <v>10032</v>
      </c>
      <c r="B4744" s="1" t="str">
        <f>"35614"</f>
        <v>35614</v>
      </c>
      <c r="C4744" s="1" t="str">
        <f>"NEW YORK"</f>
        <v>NEW YORK</v>
      </c>
      <c r="D4744" s="1" t="str">
        <f t="shared" ref="D4744:D4760" si="358">"NY"</f>
        <v>NY</v>
      </c>
      <c r="E4744" s="2">
        <v>1</v>
      </c>
      <c r="F4744" s="2">
        <v>1</v>
      </c>
      <c r="G4744" s="2">
        <v>1</v>
      </c>
      <c r="H4744" s="2">
        <v>1</v>
      </c>
    </row>
    <row r="4745" spans="1:8" x14ac:dyDescent="0.25">
      <c r="A4745" s="1" t="str">
        <f>"10122"</f>
        <v>10122</v>
      </c>
      <c r="B4745" s="1" t="str">
        <f>"35614"</f>
        <v>35614</v>
      </c>
      <c r="C4745" s="1" t="str">
        <f>"NEW YORK"</f>
        <v>NEW YORK</v>
      </c>
      <c r="D4745" s="1" t="str">
        <f t="shared" si="358"/>
        <v>NY</v>
      </c>
      <c r="E4745" s="2">
        <v>0</v>
      </c>
      <c r="F4745" s="2">
        <v>1</v>
      </c>
      <c r="G4745" s="2">
        <v>1</v>
      </c>
      <c r="H4745" s="2">
        <v>1</v>
      </c>
    </row>
    <row r="4746" spans="1:8" x14ac:dyDescent="0.25">
      <c r="A4746" s="1" t="str">
        <f>"10301"</f>
        <v>10301</v>
      </c>
      <c r="B4746" s="1" t="str">
        <f>"35614"</f>
        <v>35614</v>
      </c>
      <c r="C4746" s="1" t="str">
        <f>"STATEN ISLAND"</f>
        <v>STATEN ISLAND</v>
      </c>
      <c r="D4746" s="1" t="str">
        <f t="shared" si="358"/>
        <v>NY</v>
      </c>
      <c r="E4746" s="2">
        <v>1</v>
      </c>
      <c r="F4746" s="2">
        <v>1</v>
      </c>
      <c r="G4746" s="2">
        <v>1</v>
      </c>
      <c r="H4746" s="2">
        <v>1</v>
      </c>
    </row>
    <row r="4747" spans="1:8" x14ac:dyDescent="0.25">
      <c r="A4747" s="1" t="str">
        <f>"11010"</f>
        <v>11010</v>
      </c>
      <c r="B4747" s="1" t="str">
        <f>"35004"</f>
        <v>35004</v>
      </c>
      <c r="C4747" s="1" t="str">
        <f>"FRANKLIN SQUARE"</f>
        <v>FRANKLIN SQUARE</v>
      </c>
      <c r="D4747" s="1" t="str">
        <f t="shared" si="358"/>
        <v>NY</v>
      </c>
      <c r="E4747" s="2">
        <v>1</v>
      </c>
      <c r="F4747" s="2">
        <v>1</v>
      </c>
      <c r="G4747" s="2">
        <v>1</v>
      </c>
      <c r="H4747" s="2">
        <v>1</v>
      </c>
    </row>
    <row r="4748" spans="1:8" x14ac:dyDescent="0.25">
      <c r="A4748" s="1" t="str">
        <f>"11109"</f>
        <v>11109</v>
      </c>
      <c r="B4748" s="1" t="str">
        <f>"35614"</f>
        <v>35614</v>
      </c>
      <c r="C4748" s="1" t="str">
        <f>"LONG ISLAND CITY"</f>
        <v>LONG ISLAND CITY</v>
      </c>
      <c r="D4748" s="1" t="str">
        <f t="shared" si="358"/>
        <v>NY</v>
      </c>
      <c r="E4748" s="2">
        <v>1</v>
      </c>
      <c r="F4748" s="2">
        <v>1</v>
      </c>
      <c r="G4748" s="2">
        <v>1</v>
      </c>
      <c r="H4748" s="2">
        <v>1</v>
      </c>
    </row>
    <row r="4749" spans="1:8" x14ac:dyDescent="0.25">
      <c r="A4749" s="1" t="str">
        <f>"11412"</f>
        <v>11412</v>
      </c>
      <c r="B4749" s="1" t="str">
        <f>"35614"</f>
        <v>35614</v>
      </c>
      <c r="C4749" s="1" t="str">
        <f>"SAINT ALBANS"</f>
        <v>SAINT ALBANS</v>
      </c>
      <c r="D4749" s="1" t="str">
        <f t="shared" si="358"/>
        <v>NY</v>
      </c>
      <c r="E4749" s="2">
        <v>1</v>
      </c>
      <c r="F4749" s="2">
        <v>1</v>
      </c>
      <c r="G4749" s="2">
        <v>1</v>
      </c>
      <c r="H4749" s="2">
        <v>1</v>
      </c>
    </row>
    <row r="4750" spans="1:8" x14ac:dyDescent="0.25">
      <c r="A4750" s="1" t="str">
        <f>"11417"</f>
        <v>11417</v>
      </c>
      <c r="B4750" s="1" t="str">
        <f>"35614"</f>
        <v>35614</v>
      </c>
      <c r="C4750" s="1" t="str">
        <f>"OZONE PARK"</f>
        <v>OZONE PARK</v>
      </c>
      <c r="D4750" s="1" t="str">
        <f t="shared" si="358"/>
        <v>NY</v>
      </c>
      <c r="E4750" s="2">
        <v>1</v>
      </c>
      <c r="F4750" s="2">
        <v>1</v>
      </c>
      <c r="G4750" s="2">
        <v>1</v>
      </c>
      <c r="H4750" s="2">
        <v>1</v>
      </c>
    </row>
    <row r="4751" spans="1:8" x14ac:dyDescent="0.25">
      <c r="A4751" s="1" t="str">
        <f>"11691"</f>
        <v>11691</v>
      </c>
      <c r="B4751" s="1" t="str">
        <f>"35614"</f>
        <v>35614</v>
      </c>
      <c r="C4751" s="1" t="str">
        <f>"FAR ROCKAWAY"</f>
        <v>FAR ROCKAWAY</v>
      </c>
      <c r="D4751" s="1" t="str">
        <f t="shared" si="358"/>
        <v>NY</v>
      </c>
      <c r="E4751" s="2">
        <v>0.99915638042802501</v>
      </c>
      <c r="F4751" s="2">
        <v>1</v>
      </c>
      <c r="G4751" s="2">
        <v>1</v>
      </c>
      <c r="H4751" s="2">
        <v>0.99923033298225705</v>
      </c>
    </row>
    <row r="4752" spans="1:8" x14ac:dyDescent="0.25">
      <c r="A4752" s="1" t="str">
        <f>"11691"</f>
        <v>11691</v>
      </c>
      <c r="B4752" s="1" t="str">
        <f>"35004"</f>
        <v>35004</v>
      </c>
      <c r="C4752" s="1" t="str">
        <f>"FAR ROCKAWAY"</f>
        <v>FAR ROCKAWAY</v>
      </c>
      <c r="D4752" s="1" t="str">
        <f t="shared" si="358"/>
        <v>NY</v>
      </c>
      <c r="E4752" s="2">
        <v>8.4361957197406901E-4</v>
      </c>
      <c r="F4752" s="2">
        <v>0</v>
      </c>
      <c r="G4752" s="2">
        <v>0</v>
      </c>
      <c r="H4752" s="2">
        <v>7.6966701774284997E-4</v>
      </c>
    </row>
    <row r="4753" spans="1:8" x14ac:dyDescent="0.25">
      <c r="A4753" s="1" t="str">
        <f>"11709"</f>
        <v>11709</v>
      </c>
      <c r="B4753" s="1" t="str">
        <f>"35004"</f>
        <v>35004</v>
      </c>
      <c r="C4753" s="1" t="str">
        <f>"BAYVILLE"</f>
        <v>BAYVILLE</v>
      </c>
      <c r="D4753" s="1" t="str">
        <f t="shared" si="358"/>
        <v>NY</v>
      </c>
      <c r="E4753" s="2">
        <v>1</v>
      </c>
      <c r="F4753" s="2">
        <v>1</v>
      </c>
      <c r="G4753" s="2">
        <v>1</v>
      </c>
      <c r="H4753" s="2">
        <v>1</v>
      </c>
    </row>
    <row r="4754" spans="1:8" x14ac:dyDescent="0.25">
      <c r="A4754" s="1" t="str">
        <f>"11762"</f>
        <v>11762</v>
      </c>
      <c r="B4754" s="1" t="str">
        <f>"35004"</f>
        <v>35004</v>
      </c>
      <c r="C4754" s="1" t="str">
        <f>"MASSAPEQUA PARK"</f>
        <v>MASSAPEQUA PARK</v>
      </c>
      <c r="D4754" s="1" t="str">
        <f t="shared" si="358"/>
        <v>NY</v>
      </c>
      <c r="E4754" s="2">
        <v>1</v>
      </c>
      <c r="F4754" s="2">
        <v>1</v>
      </c>
      <c r="G4754" s="2">
        <v>1</v>
      </c>
      <c r="H4754" s="2">
        <v>1</v>
      </c>
    </row>
    <row r="4755" spans="1:8" x14ac:dyDescent="0.25">
      <c r="A4755" s="1" t="str">
        <f>"11769"</f>
        <v>11769</v>
      </c>
      <c r="B4755" s="1" t="str">
        <f>"35004"</f>
        <v>35004</v>
      </c>
      <c r="C4755" s="1" t="str">
        <f>"OAKDALE"</f>
        <v>OAKDALE</v>
      </c>
      <c r="D4755" s="1" t="str">
        <f t="shared" si="358"/>
        <v>NY</v>
      </c>
      <c r="E4755" s="2">
        <v>1</v>
      </c>
      <c r="F4755" s="2">
        <v>1</v>
      </c>
      <c r="G4755" s="2">
        <v>1</v>
      </c>
      <c r="H4755" s="2">
        <v>1</v>
      </c>
    </row>
    <row r="4756" spans="1:8" x14ac:dyDescent="0.25">
      <c r="A4756" s="1" t="str">
        <f>"11941"</f>
        <v>11941</v>
      </c>
      <c r="B4756" s="1" t="str">
        <f>"35004"</f>
        <v>35004</v>
      </c>
      <c r="C4756" s="1" t="str">
        <f>"EASTPORT"</f>
        <v>EASTPORT</v>
      </c>
      <c r="D4756" s="1" t="str">
        <f t="shared" si="358"/>
        <v>NY</v>
      </c>
      <c r="E4756" s="2">
        <v>1</v>
      </c>
      <c r="F4756" s="2">
        <v>1</v>
      </c>
      <c r="G4756" s="2">
        <v>1</v>
      </c>
      <c r="H4756" s="2">
        <v>1</v>
      </c>
    </row>
    <row r="4757" spans="1:8" x14ac:dyDescent="0.25">
      <c r="A4757" s="1" t="str">
        <f>"10601"</f>
        <v>10601</v>
      </c>
      <c r="B4757" s="1" t="str">
        <f>"35614"</f>
        <v>35614</v>
      </c>
      <c r="C4757" s="1" t="str">
        <f>"WHITE PLAINS"</f>
        <v>WHITE PLAINS</v>
      </c>
      <c r="D4757" s="1" t="str">
        <f t="shared" si="358"/>
        <v>NY</v>
      </c>
      <c r="E4757" s="2">
        <v>1</v>
      </c>
      <c r="F4757" s="2">
        <v>1</v>
      </c>
      <c r="G4757" s="2">
        <v>1</v>
      </c>
      <c r="H4757" s="2">
        <v>1</v>
      </c>
    </row>
    <row r="4758" spans="1:8" x14ac:dyDescent="0.25">
      <c r="A4758" s="1" t="str">
        <f>"10708"</f>
        <v>10708</v>
      </c>
      <c r="B4758" s="1" t="str">
        <f>"35614"</f>
        <v>35614</v>
      </c>
      <c r="C4758" s="1" t="str">
        <f>"BRONXVILLE"</f>
        <v>BRONXVILLE</v>
      </c>
      <c r="D4758" s="1" t="str">
        <f t="shared" si="358"/>
        <v>NY</v>
      </c>
      <c r="E4758" s="2">
        <v>1</v>
      </c>
      <c r="F4758" s="2">
        <v>1</v>
      </c>
      <c r="G4758" s="2">
        <v>1</v>
      </c>
      <c r="H4758" s="2">
        <v>1</v>
      </c>
    </row>
    <row r="4759" spans="1:8" x14ac:dyDescent="0.25">
      <c r="A4759" s="1" t="str">
        <f>"10803"</f>
        <v>10803</v>
      </c>
      <c r="B4759" s="1" t="str">
        <f>"35614"</f>
        <v>35614</v>
      </c>
      <c r="C4759" s="1" t="str">
        <f>"PELHAM"</f>
        <v>PELHAM</v>
      </c>
      <c r="D4759" s="1" t="str">
        <f t="shared" si="358"/>
        <v>NY</v>
      </c>
      <c r="E4759" s="2">
        <v>1</v>
      </c>
      <c r="F4759" s="2">
        <v>1</v>
      </c>
      <c r="G4759" s="2">
        <v>1</v>
      </c>
      <c r="H4759" s="2">
        <v>1</v>
      </c>
    </row>
    <row r="4760" spans="1:8" x14ac:dyDescent="0.25">
      <c r="A4760" s="1" t="str">
        <f>"10960"</f>
        <v>10960</v>
      </c>
      <c r="B4760" s="1" t="str">
        <f>"35614"</f>
        <v>35614</v>
      </c>
      <c r="C4760" s="1" t="str">
        <f>"NYACK"</f>
        <v>NYACK</v>
      </c>
      <c r="D4760" s="1" t="str">
        <f t="shared" si="358"/>
        <v>NY</v>
      </c>
      <c r="E4760" s="2">
        <v>1</v>
      </c>
      <c r="F4760" s="2">
        <v>1</v>
      </c>
      <c r="G4760" s="2">
        <v>1</v>
      </c>
      <c r="H4760" s="2">
        <v>1</v>
      </c>
    </row>
    <row r="4761" spans="1:8" x14ac:dyDescent="0.25">
      <c r="A4761" s="1" t="str">
        <f>"18942"</f>
        <v>18942</v>
      </c>
      <c r="B4761" s="1" t="str">
        <f>"33874"</f>
        <v>33874</v>
      </c>
      <c r="C4761" s="1" t="str">
        <f>"OTTSVILLE"</f>
        <v>OTTSVILLE</v>
      </c>
      <c r="D4761" s="1" t="str">
        <f t="shared" ref="D4761:D4766" si="359">"PA"</f>
        <v>PA</v>
      </c>
      <c r="E4761" s="2">
        <v>1</v>
      </c>
      <c r="F4761" s="2">
        <v>1</v>
      </c>
      <c r="G4761" s="2">
        <v>1</v>
      </c>
      <c r="H4761" s="2">
        <v>1</v>
      </c>
    </row>
    <row r="4762" spans="1:8" x14ac:dyDescent="0.25">
      <c r="A4762" s="1" t="str">
        <f>"18974"</f>
        <v>18974</v>
      </c>
      <c r="B4762" s="1" t="str">
        <f>"33874"</f>
        <v>33874</v>
      </c>
      <c r="C4762" s="1" t="str">
        <f>"WARMINSTER"</f>
        <v>WARMINSTER</v>
      </c>
      <c r="D4762" s="1" t="str">
        <f t="shared" si="359"/>
        <v>PA</v>
      </c>
      <c r="E4762" s="2">
        <v>1</v>
      </c>
      <c r="F4762" s="2">
        <v>1</v>
      </c>
      <c r="G4762" s="2">
        <v>1</v>
      </c>
      <c r="H4762" s="2">
        <v>1</v>
      </c>
    </row>
    <row r="4763" spans="1:8" x14ac:dyDescent="0.25">
      <c r="A4763" s="1" t="str">
        <f>"19030"</f>
        <v>19030</v>
      </c>
      <c r="B4763" s="1" t="str">
        <f>"33874"</f>
        <v>33874</v>
      </c>
      <c r="C4763" s="1" t="str">
        <f>"FAIRLESS HILLS"</f>
        <v>FAIRLESS HILLS</v>
      </c>
      <c r="D4763" s="1" t="str">
        <f t="shared" si="359"/>
        <v>PA</v>
      </c>
      <c r="E4763" s="2">
        <v>1</v>
      </c>
      <c r="F4763" s="2">
        <v>1</v>
      </c>
      <c r="G4763" s="2">
        <v>1</v>
      </c>
      <c r="H4763" s="2">
        <v>1</v>
      </c>
    </row>
    <row r="4764" spans="1:8" x14ac:dyDescent="0.25">
      <c r="A4764" s="1" t="str">
        <f>"19106"</f>
        <v>19106</v>
      </c>
      <c r="B4764" s="1" t="str">
        <f>"37964"</f>
        <v>37964</v>
      </c>
      <c r="C4764" s="1" t="str">
        <f>"PHILADELPHIA"</f>
        <v>PHILADELPHIA</v>
      </c>
      <c r="D4764" s="1" t="str">
        <f t="shared" si="359"/>
        <v>PA</v>
      </c>
      <c r="E4764" s="2">
        <v>1</v>
      </c>
      <c r="F4764" s="2">
        <v>1</v>
      </c>
      <c r="G4764" s="2">
        <v>1</v>
      </c>
      <c r="H4764" s="2">
        <v>1</v>
      </c>
    </row>
    <row r="4765" spans="1:8" x14ac:dyDescent="0.25">
      <c r="A4765" s="1" t="str">
        <f>"19129"</f>
        <v>19129</v>
      </c>
      <c r="B4765" s="1" t="str">
        <f>"37964"</f>
        <v>37964</v>
      </c>
      <c r="C4765" s="1" t="str">
        <f>"PHILADELPHIA"</f>
        <v>PHILADELPHIA</v>
      </c>
      <c r="D4765" s="1" t="str">
        <f t="shared" si="359"/>
        <v>PA</v>
      </c>
      <c r="E4765" s="2">
        <v>1</v>
      </c>
      <c r="F4765" s="2">
        <v>1</v>
      </c>
      <c r="G4765" s="2">
        <v>1</v>
      </c>
      <c r="H4765" s="2">
        <v>1</v>
      </c>
    </row>
    <row r="4766" spans="1:8" x14ac:dyDescent="0.25">
      <c r="A4766" s="1" t="str">
        <f>"19148"</f>
        <v>19148</v>
      </c>
      <c r="B4766" s="1" t="str">
        <f>"37964"</f>
        <v>37964</v>
      </c>
      <c r="C4766" s="1" t="str">
        <f>"PHILADELPHIA"</f>
        <v>PHILADELPHIA</v>
      </c>
      <c r="D4766" s="1" t="str">
        <f t="shared" si="359"/>
        <v>PA</v>
      </c>
      <c r="E4766" s="2">
        <v>1</v>
      </c>
      <c r="F4766" s="2">
        <v>1</v>
      </c>
      <c r="G4766" s="2">
        <v>1</v>
      </c>
      <c r="H4766" s="2">
        <v>1</v>
      </c>
    </row>
    <row r="4767" spans="1:8" x14ac:dyDescent="0.25">
      <c r="A4767" s="1" t="str">
        <f>"19805"</f>
        <v>19805</v>
      </c>
      <c r="B4767" s="1" t="str">
        <f>"48864"</f>
        <v>48864</v>
      </c>
      <c r="C4767" s="1" t="str">
        <f>"WILMINGTON"</f>
        <v>WILMINGTON</v>
      </c>
      <c r="D4767" s="1" t="str">
        <f>"DE"</f>
        <v>DE</v>
      </c>
      <c r="E4767" s="2">
        <v>1</v>
      </c>
      <c r="F4767" s="2">
        <v>1</v>
      </c>
      <c r="G4767" s="2">
        <v>1</v>
      </c>
      <c r="H4767" s="2">
        <v>1</v>
      </c>
    </row>
    <row r="4768" spans="1:8" x14ac:dyDescent="0.25">
      <c r="A4768" s="1" t="str">
        <f>"20018"</f>
        <v>20018</v>
      </c>
      <c r="B4768" s="1" t="str">
        <f>"47894"</f>
        <v>47894</v>
      </c>
      <c r="C4768" s="1" t="str">
        <f>"WASHINGTON"</f>
        <v>WASHINGTON</v>
      </c>
      <c r="D4768" s="1" t="str">
        <f>"DC"</f>
        <v>DC</v>
      </c>
      <c r="E4768" s="2">
        <v>1</v>
      </c>
      <c r="F4768" s="2">
        <v>1</v>
      </c>
      <c r="G4768" s="2">
        <v>1</v>
      </c>
      <c r="H4768" s="2">
        <v>1</v>
      </c>
    </row>
    <row r="4769" spans="1:8" x14ac:dyDescent="0.25">
      <c r="A4769" s="1" t="str">
        <f>"20559"</f>
        <v>20559</v>
      </c>
      <c r="B4769" s="1" t="str">
        <f>"47894"</f>
        <v>47894</v>
      </c>
      <c r="C4769" s="1" t="str">
        <f>"WASHINGTON"</f>
        <v>WASHINGTON</v>
      </c>
      <c r="D4769" s="1" t="str">
        <f>"DC"</f>
        <v>DC</v>
      </c>
      <c r="E4769" s="2">
        <v>0</v>
      </c>
      <c r="F4769" s="2">
        <v>1</v>
      </c>
      <c r="G4769" s="2">
        <v>1</v>
      </c>
      <c r="H4769" s="2">
        <v>1</v>
      </c>
    </row>
    <row r="4770" spans="1:8" x14ac:dyDescent="0.25">
      <c r="A4770" s="1" t="str">
        <f>"20376"</f>
        <v>20376</v>
      </c>
      <c r="B4770" s="1" t="str">
        <f>"47894"</f>
        <v>47894</v>
      </c>
      <c r="C4770" s="1" t="str">
        <f>"WASHINGTON NAVY YARD"</f>
        <v>WASHINGTON NAVY YARD</v>
      </c>
      <c r="D4770" s="1" t="str">
        <f>"DC"</f>
        <v>DC</v>
      </c>
      <c r="E4770" s="2">
        <v>0</v>
      </c>
      <c r="F4770" s="2">
        <v>1</v>
      </c>
      <c r="G4770" s="2">
        <v>1</v>
      </c>
      <c r="H4770" s="2">
        <v>1</v>
      </c>
    </row>
    <row r="4771" spans="1:8" x14ac:dyDescent="0.25">
      <c r="A4771" s="1" t="str">
        <f>"20745"</f>
        <v>20745</v>
      </c>
      <c r="B4771" s="1" t="str">
        <f>"47894"</f>
        <v>47894</v>
      </c>
      <c r="C4771" s="1" t="str">
        <f>"OXON HILL"</f>
        <v>OXON HILL</v>
      </c>
      <c r="D4771" s="1" t="str">
        <f>"MD"</f>
        <v>MD</v>
      </c>
      <c r="E4771" s="2">
        <v>1</v>
      </c>
      <c r="F4771" s="2">
        <v>1</v>
      </c>
      <c r="G4771" s="2">
        <v>1</v>
      </c>
      <c r="H4771" s="2">
        <v>1</v>
      </c>
    </row>
    <row r="4772" spans="1:8" x14ac:dyDescent="0.25">
      <c r="A4772" s="1" t="str">
        <f>"20850"</f>
        <v>20850</v>
      </c>
      <c r="B4772" s="1" t="str">
        <f>"23224"</f>
        <v>23224</v>
      </c>
      <c r="C4772" s="1" t="str">
        <f>"ROCKVILLE"</f>
        <v>ROCKVILLE</v>
      </c>
      <c r="D4772" s="1" t="str">
        <f>"MD"</f>
        <v>MD</v>
      </c>
      <c r="E4772" s="2">
        <v>1</v>
      </c>
      <c r="F4772" s="2">
        <v>1</v>
      </c>
      <c r="G4772" s="2">
        <v>1</v>
      </c>
      <c r="H4772" s="2">
        <v>1</v>
      </c>
    </row>
    <row r="4773" spans="1:8" x14ac:dyDescent="0.25">
      <c r="A4773" s="1" t="str">
        <f>"21911"</f>
        <v>21911</v>
      </c>
      <c r="B4773" s="1" t="str">
        <f>"48864"</f>
        <v>48864</v>
      </c>
      <c r="C4773" s="1" t="str">
        <f>"RISING SUN"</f>
        <v>RISING SUN</v>
      </c>
      <c r="D4773" s="1" t="str">
        <f>"MD"</f>
        <v>MD</v>
      </c>
      <c r="E4773" s="2">
        <v>1</v>
      </c>
      <c r="F4773" s="2">
        <v>1</v>
      </c>
      <c r="G4773" s="2">
        <v>1</v>
      </c>
      <c r="H4773" s="2">
        <v>1</v>
      </c>
    </row>
    <row r="4774" spans="1:8" x14ac:dyDescent="0.25">
      <c r="A4774" s="1" t="str">
        <f>"20112"</f>
        <v>20112</v>
      </c>
      <c r="B4774" s="1" t="str">
        <f t="shared" ref="B4774:B4781" si="360">"47894"</f>
        <v>47894</v>
      </c>
      <c r="C4774" s="1" t="str">
        <f>"MANASSAS"</f>
        <v>MANASSAS</v>
      </c>
      <c r="D4774" s="1" t="str">
        <f t="shared" ref="D4774:D4781" si="361">"VA"</f>
        <v>VA</v>
      </c>
      <c r="E4774" s="2">
        <v>1</v>
      </c>
      <c r="F4774" s="2">
        <v>1</v>
      </c>
      <c r="G4774" s="2">
        <v>1</v>
      </c>
      <c r="H4774" s="2">
        <v>1</v>
      </c>
    </row>
    <row r="4775" spans="1:8" x14ac:dyDescent="0.25">
      <c r="A4775" s="1" t="str">
        <f>"20136"</f>
        <v>20136</v>
      </c>
      <c r="B4775" s="1" t="str">
        <f t="shared" si="360"/>
        <v>47894</v>
      </c>
      <c r="C4775" s="1" t="str">
        <f>"BRISTOW"</f>
        <v>BRISTOW</v>
      </c>
      <c r="D4775" s="1" t="str">
        <f t="shared" si="361"/>
        <v>VA</v>
      </c>
      <c r="E4775" s="2">
        <v>1</v>
      </c>
      <c r="F4775" s="2">
        <v>1</v>
      </c>
      <c r="G4775" s="2">
        <v>1</v>
      </c>
      <c r="H4775" s="2">
        <v>1</v>
      </c>
    </row>
    <row r="4776" spans="1:8" x14ac:dyDescent="0.25">
      <c r="A4776" s="1" t="str">
        <f>"22025"</f>
        <v>22025</v>
      </c>
      <c r="B4776" s="1" t="str">
        <f t="shared" si="360"/>
        <v>47894</v>
      </c>
      <c r="C4776" s="1" t="str">
        <f>"DUMFRIES"</f>
        <v>DUMFRIES</v>
      </c>
      <c r="D4776" s="1" t="str">
        <f t="shared" si="361"/>
        <v>VA</v>
      </c>
      <c r="E4776" s="2">
        <v>1</v>
      </c>
      <c r="F4776" s="2">
        <v>1</v>
      </c>
      <c r="G4776" s="2">
        <v>1</v>
      </c>
      <c r="H4776" s="2">
        <v>1</v>
      </c>
    </row>
    <row r="4777" spans="1:8" x14ac:dyDescent="0.25">
      <c r="A4777" s="1" t="str">
        <f>"22152"</f>
        <v>22152</v>
      </c>
      <c r="B4777" s="1" t="str">
        <f t="shared" si="360"/>
        <v>47894</v>
      </c>
      <c r="C4777" s="1" t="str">
        <f>"SPRINGFIELD"</f>
        <v>SPRINGFIELD</v>
      </c>
      <c r="D4777" s="1" t="str">
        <f t="shared" si="361"/>
        <v>VA</v>
      </c>
      <c r="E4777" s="2">
        <v>1</v>
      </c>
      <c r="F4777" s="2">
        <v>1</v>
      </c>
      <c r="G4777" s="2">
        <v>1</v>
      </c>
      <c r="H4777" s="2">
        <v>1</v>
      </c>
    </row>
    <row r="4778" spans="1:8" x14ac:dyDescent="0.25">
      <c r="A4778" s="1" t="str">
        <f>"22101"</f>
        <v>22101</v>
      </c>
      <c r="B4778" s="1" t="str">
        <f t="shared" si="360"/>
        <v>47894</v>
      </c>
      <c r="C4778" s="1" t="str">
        <f>"MC LEAN"</f>
        <v>MC LEAN</v>
      </c>
      <c r="D4778" s="1" t="str">
        <f t="shared" si="361"/>
        <v>VA</v>
      </c>
      <c r="E4778" s="2">
        <v>1</v>
      </c>
      <c r="F4778" s="2">
        <v>1</v>
      </c>
      <c r="G4778" s="2">
        <v>1</v>
      </c>
      <c r="H4778" s="2">
        <v>1</v>
      </c>
    </row>
    <row r="4779" spans="1:8" x14ac:dyDescent="0.25">
      <c r="A4779" s="1" t="str">
        <f>"22203"</f>
        <v>22203</v>
      </c>
      <c r="B4779" s="1" t="str">
        <f t="shared" si="360"/>
        <v>47894</v>
      </c>
      <c r="C4779" s="1" t="str">
        <f>"ARLINGTON"</f>
        <v>ARLINGTON</v>
      </c>
      <c r="D4779" s="1" t="str">
        <f t="shared" si="361"/>
        <v>VA</v>
      </c>
      <c r="E4779" s="2">
        <v>1</v>
      </c>
      <c r="F4779" s="2">
        <v>1</v>
      </c>
      <c r="G4779" s="2">
        <v>1</v>
      </c>
      <c r="H4779" s="2">
        <v>1</v>
      </c>
    </row>
    <row r="4780" spans="1:8" x14ac:dyDescent="0.25">
      <c r="A4780" s="1" t="str">
        <f>"22713"</f>
        <v>22713</v>
      </c>
      <c r="B4780" s="1" t="str">
        <f t="shared" si="360"/>
        <v>47894</v>
      </c>
      <c r="C4780" s="1" t="str">
        <f>"BOSTON"</f>
        <v>BOSTON</v>
      </c>
      <c r="D4780" s="1" t="str">
        <f t="shared" si="361"/>
        <v>VA</v>
      </c>
      <c r="E4780" s="2">
        <v>1</v>
      </c>
      <c r="F4780" s="2">
        <v>1</v>
      </c>
      <c r="G4780" s="2">
        <v>0</v>
      </c>
      <c r="H4780" s="2">
        <v>1</v>
      </c>
    </row>
    <row r="4781" spans="1:8" x14ac:dyDescent="0.25">
      <c r="A4781" s="1" t="str">
        <f>"22740"</f>
        <v>22740</v>
      </c>
      <c r="B4781" s="1" t="str">
        <f t="shared" si="360"/>
        <v>47894</v>
      </c>
      <c r="C4781" s="1" t="str">
        <f>"SPERRYVILLE"</f>
        <v>SPERRYVILLE</v>
      </c>
      <c r="D4781" s="1" t="str">
        <f t="shared" si="361"/>
        <v>VA</v>
      </c>
      <c r="E4781" s="2">
        <v>1</v>
      </c>
      <c r="F4781" s="2">
        <v>1</v>
      </c>
      <c r="G4781" s="2">
        <v>1</v>
      </c>
      <c r="H4781" s="2">
        <v>1</v>
      </c>
    </row>
    <row r="4782" spans="1:8" x14ac:dyDescent="0.25">
      <c r="A4782" s="1" t="str">
        <f>"33060"</f>
        <v>33060</v>
      </c>
      <c r="B4782" s="1" t="str">
        <f>"22744"</f>
        <v>22744</v>
      </c>
      <c r="C4782" s="1" t="str">
        <f>"POMPANO BEACH"</f>
        <v>POMPANO BEACH</v>
      </c>
      <c r="D4782" s="1" t="str">
        <f t="shared" ref="D4782:D4796" si="362">"FL"</f>
        <v>FL</v>
      </c>
      <c r="E4782" s="2">
        <v>1</v>
      </c>
      <c r="F4782" s="2">
        <v>1</v>
      </c>
      <c r="G4782" s="2">
        <v>1</v>
      </c>
      <c r="H4782" s="2">
        <v>1</v>
      </c>
    </row>
    <row r="4783" spans="1:8" x14ac:dyDescent="0.25">
      <c r="A4783" s="1" t="str">
        <f>"33027"</f>
        <v>33027</v>
      </c>
      <c r="B4783" s="1" t="str">
        <f>"22744"</f>
        <v>22744</v>
      </c>
      <c r="C4783" s="1" t="str">
        <f>"HOLLYWOOD"</f>
        <v>HOLLYWOOD</v>
      </c>
      <c r="D4783" s="1" t="str">
        <f t="shared" si="362"/>
        <v>FL</v>
      </c>
      <c r="E4783" s="2">
        <v>1</v>
      </c>
      <c r="F4783" s="2">
        <v>1</v>
      </c>
      <c r="G4783" s="2">
        <v>1</v>
      </c>
      <c r="H4783" s="2">
        <v>1</v>
      </c>
    </row>
    <row r="4784" spans="1:8" x14ac:dyDescent="0.25">
      <c r="A4784" s="1" t="str">
        <f>"33109"</f>
        <v>33109</v>
      </c>
      <c r="B4784" s="1" t="str">
        <f>"33124"</f>
        <v>33124</v>
      </c>
      <c r="C4784" s="1" t="str">
        <f>"MIAMI BEACH"</f>
        <v>MIAMI BEACH</v>
      </c>
      <c r="D4784" s="1" t="str">
        <f t="shared" si="362"/>
        <v>FL</v>
      </c>
      <c r="E4784" s="2">
        <v>1</v>
      </c>
      <c r="F4784" s="2">
        <v>1</v>
      </c>
      <c r="G4784" s="2">
        <v>1</v>
      </c>
      <c r="H4784" s="2">
        <v>1</v>
      </c>
    </row>
    <row r="4785" spans="1:8" x14ac:dyDescent="0.25">
      <c r="A4785" s="1" t="str">
        <f>"33435"</f>
        <v>33435</v>
      </c>
      <c r="B4785" s="1" t="str">
        <f>"48424"</f>
        <v>48424</v>
      </c>
      <c r="C4785" s="1" t="str">
        <f>"BOYNTON BEACH"</f>
        <v>BOYNTON BEACH</v>
      </c>
      <c r="D4785" s="1" t="str">
        <f t="shared" si="362"/>
        <v>FL</v>
      </c>
      <c r="E4785" s="2">
        <v>1</v>
      </c>
      <c r="F4785" s="2">
        <v>1</v>
      </c>
      <c r="G4785" s="2">
        <v>1</v>
      </c>
      <c r="H4785" s="2">
        <v>1</v>
      </c>
    </row>
    <row r="4786" spans="1:8" x14ac:dyDescent="0.25">
      <c r="A4786" s="1" t="str">
        <f>"33441"</f>
        <v>33441</v>
      </c>
      <c r="B4786" s="1" t="str">
        <f>"22744"</f>
        <v>22744</v>
      </c>
      <c r="C4786" s="1" t="str">
        <f>"DEERFIELD BEACH"</f>
        <v>DEERFIELD BEACH</v>
      </c>
      <c r="D4786" s="1" t="str">
        <f t="shared" si="362"/>
        <v>FL</v>
      </c>
      <c r="E4786" s="2">
        <v>1</v>
      </c>
      <c r="F4786" s="2">
        <v>1</v>
      </c>
      <c r="G4786" s="2">
        <v>1</v>
      </c>
      <c r="H4786" s="2">
        <v>1</v>
      </c>
    </row>
    <row r="4787" spans="1:8" x14ac:dyDescent="0.25">
      <c r="A4787" s="1" t="str">
        <f>"33484"</f>
        <v>33484</v>
      </c>
      <c r="B4787" s="1" t="str">
        <f>"48424"</f>
        <v>48424</v>
      </c>
      <c r="C4787" s="1" t="str">
        <f>"DELRAY BEACH"</f>
        <v>DELRAY BEACH</v>
      </c>
      <c r="D4787" s="1" t="str">
        <f t="shared" si="362"/>
        <v>FL</v>
      </c>
      <c r="E4787" s="2">
        <v>1</v>
      </c>
      <c r="F4787" s="2">
        <v>1</v>
      </c>
      <c r="G4787" s="2">
        <v>1</v>
      </c>
      <c r="H4787" s="2">
        <v>1</v>
      </c>
    </row>
    <row r="4788" spans="1:8" x14ac:dyDescent="0.25">
      <c r="A4788" s="1" t="str">
        <f>"33322"</f>
        <v>33322</v>
      </c>
      <c r="B4788" s="1" t="str">
        <f>"22744"</f>
        <v>22744</v>
      </c>
      <c r="C4788" s="1" t="str">
        <f>"FORT LAUDERDALE"</f>
        <v>FORT LAUDERDALE</v>
      </c>
      <c r="D4788" s="1" t="str">
        <f t="shared" si="362"/>
        <v>FL</v>
      </c>
      <c r="E4788" s="2">
        <v>1</v>
      </c>
      <c r="F4788" s="2">
        <v>1</v>
      </c>
      <c r="G4788" s="2">
        <v>1</v>
      </c>
      <c r="H4788" s="2">
        <v>1</v>
      </c>
    </row>
    <row r="4789" spans="1:8" x14ac:dyDescent="0.25">
      <c r="A4789" s="1" t="str">
        <f>"33406"</f>
        <v>33406</v>
      </c>
      <c r="B4789" s="1" t="str">
        <f>"48424"</f>
        <v>48424</v>
      </c>
      <c r="C4789" s="1" t="str">
        <f>"WEST PALM BEACH"</f>
        <v>WEST PALM BEACH</v>
      </c>
      <c r="D4789" s="1" t="str">
        <f t="shared" si="362"/>
        <v>FL</v>
      </c>
      <c r="E4789" s="2">
        <v>1</v>
      </c>
      <c r="F4789" s="2">
        <v>1</v>
      </c>
      <c r="G4789" s="2">
        <v>1</v>
      </c>
      <c r="H4789" s="2">
        <v>1</v>
      </c>
    </row>
    <row r="4790" spans="1:8" x14ac:dyDescent="0.25">
      <c r="A4790" s="1" t="str">
        <f>"33184"</f>
        <v>33184</v>
      </c>
      <c r="B4790" s="1" t="str">
        <f>"33124"</f>
        <v>33124</v>
      </c>
      <c r="C4790" s="1" t="str">
        <f>"MIAMI"</f>
        <v>MIAMI</v>
      </c>
      <c r="D4790" s="1" t="str">
        <f t="shared" si="362"/>
        <v>FL</v>
      </c>
      <c r="E4790" s="2">
        <v>1</v>
      </c>
      <c r="F4790" s="2">
        <v>1</v>
      </c>
      <c r="G4790" s="2">
        <v>1</v>
      </c>
      <c r="H4790" s="2">
        <v>1</v>
      </c>
    </row>
    <row r="4791" spans="1:8" x14ac:dyDescent="0.25">
      <c r="A4791" s="1" t="str">
        <f>"33186"</f>
        <v>33186</v>
      </c>
      <c r="B4791" s="1" t="str">
        <f>"33124"</f>
        <v>33124</v>
      </c>
      <c r="C4791" s="1" t="str">
        <f>"MIAMI"</f>
        <v>MIAMI</v>
      </c>
      <c r="D4791" s="1" t="str">
        <f t="shared" si="362"/>
        <v>FL</v>
      </c>
      <c r="E4791" s="2">
        <v>1</v>
      </c>
      <c r="F4791" s="2">
        <v>1</v>
      </c>
      <c r="G4791" s="2">
        <v>1</v>
      </c>
      <c r="H4791" s="2">
        <v>1</v>
      </c>
    </row>
    <row r="4792" spans="1:8" x14ac:dyDescent="0.25">
      <c r="A4792" s="1" t="str">
        <f>"33154"</f>
        <v>33154</v>
      </c>
      <c r="B4792" s="1" t="str">
        <f>"33124"</f>
        <v>33124</v>
      </c>
      <c r="C4792" s="1" t="str">
        <f>"MIAMI BEACH"</f>
        <v>MIAMI BEACH</v>
      </c>
      <c r="D4792" s="1" t="str">
        <f t="shared" si="362"/>
        <v>FL</v>
      </c>
      <c r="E4792" s="2">
        <v>1</v>
      </c>
      <c r="F4792" s="2">
        <v>1</v>
      </c>
      <c r="G4792" s="2">
        <v>1</v>
      </c>
      <c r="H4792" s="2">
        <v>1</v>
      </c>
    </row>
    <row r="4793" spans="1:8" x14ac:dyDescent="0.25">
      <c r="A4793" s="1" t="str">
        <f>"33469"</f>
        <v>33469</v>
      </c>
      <c r="B4793" s="1" t="str">
        <f>"48424"</f>
        <v>48424</v>
      </c>
      <c r="C4793" s="1" t="str">
        <f>"JUPITER"</f>
        <v>JUPITER</v>
      </c>
      <c r="D4793" s="1" t="str">
        <f t="shared" si="362"/>
        <v>FL</v>
      </c>
      <c r="E4793" s="2">
        <v>1</v>
      </c>
      <c r="F4793" s="2">
        <v>1</v>
      </c>
      <c r="G4793" s="2">
        <v>1</v>
      </c>
      <c r="H4793" s="2">
        <v>1</v>
      </c>
    </row>
    <row r="4794" spans="1:8" x14ac:dyDescent="0.25">
      <c r="A4794" s="1" t="str">
        <f>"33476"</f>
        <v>33476</v>
      </c>
      <c r="B4794" s="1" t="str">
        <f>"48424"</f>
        <v>48424</v>
      </c>
      <c r="C4794" s="1" t="str">
        <f>"PAHOKEE"</f>
        <v>PAHOKEE</v>
      </c>
      <c r="D4794" s="1" t="str">
        <f t="shared" si="362"/>
        <v>FL</v>
      </c>
      <c r="E4794" s="2">
        <v>1</v>
      </c>
      <c r="F4794" s="2">
        <v>1</v>
      </c>
      <c r="G4794" s="2">
        <v>1</v>
      </c>
      <c r="H4794" s="2">
        <v>1</v>
      </c>
    </row>
    <row r="4795" spans="1:8" x14ac:dyDescent="0.25">
      <c r="A4795" s="1" t="str">
        <f>"33477"</f>
        <v>33477</v>
      </c>
      <c r="B4795" s="1" t="str">
        <f>"48424"</f>
        <v>48424</v>
      </c>
      <c r="C4795" s="1" t="str">
        <f>"JUPITER"</f>
        <v>JUPITER</v>
      </c>
      <c r="D4795" s="1" t="str">
        <f t="shared" si="362"/>
        <v>FL</v>
      </c>
      <c r="E4795" s="2">
        <v>1</v>
      </c>
      <c r="F4795" s="2">
        <v>1</v>
      </c>
      <c r="G4795" s="2">
        <v>1</v>
      </c>
      <c r="H4795" s="2">
        <v>1</v>
      </c>
    </row>
    <row r="4796" spans="1:8" x14ac:dyDescent="0.25">
      <c r="A4796" s="1" t="str">
        <f>"33314"</f>
        <v>33314</v>
      </c>
      <c r="B4796" s="1" t="str">
        <f>"22744"</f>
        <v>22744</v>
      </c>
      <c r="C4796" s="1" t="str">
        <f>"FORT LAUDERDALE"</f>
        <v>FORT LAUDERDALE</v>
      </c>
      <c r="D4796" s="1" t="str">
        <f t="shared" si="362"/>
        <v>FL</v>
      </c>
      <c r="E4796" s="2">
        <v>1</v>
      </c>
      <c r="F4796" s="2">
        <v>1</v>
      </c>
      <c r="G4796" s="2">
        <v>1</v>
      </c>
      <c r="H4796" s="2">
        <v>1</v>
      </c>
    </row>
    <row r="4797" spans="1:8" x14ac:dyDescent="0.25">
      <c r="A4797" s="1" t="str">
        <f>"46410"</f>
        <v>46410</v>
      </c>
      <c r="B4797" s="1" t="str">
        <f>"23844"</f>
        <v>23844</v>
      </c>
      <c r="C4797" s="1" t="str">
        <f>"MERRILLVILLE"</f>
        <v>MERRILLVILLE</v>
      </c>
      <c r="D4797" s="1" t="str">
        <f>"IN"</f>
        <v>IN</v>
      </c>
      <c r="E4797" s="2">
        <v>1</v>
      </c>
      <c r="F4797" s="2">
        <v>1</v>
      </c>
      <c r="G4797" s="2">
        <v>1</v>
      </c>
      <c r="H4797" s="2">
        <v>1</v>
      </c>
    </row>
    <row r="4798" spans="1:8" x14ac:dyDescent="0.25">
      <c r="A4798" s="1" t="str">
        <f>"46403"</f>
        <v>46403</v>
      </c>
      <c r="B4798" s="1" t="str">
        <f>"23844"</f>
        <v>23844</v>
      </c>
      <c r="C4798" s="1" t="str">
        <f>"GARY"</f>
        <v>GARY</v>
      </c>
      <c r="D4798" s="1" t="str">
        <f>"IN"</f>
        <v>IN</v>
      </c>
      <c r="E4798" s="2">
        <v>1</v>
      </c>
      <c r="F4798" s="2">
        <v>1</v>
      </c>
      <c r="G4798" s="2">
        <v>1</v>
      </c>
      <c r="H4798" s="2">
        <v>1</v>
      </c>
    </row>
    <row r="4799" spans="1:8" x14ac:dyDescent="0.25">
      <c r="A4799" s="1" t="str">
        <f>"47977"</f>
        <v>47977</v>
      </c>
      <c r="B4799" s="1" t="str">
        <f>"23844"</f>
        <v>23844</v>
      </c>
      <c r="C4799" s="1" t="str">
        <f>"REMINGTON"</f>
        <v>REMINGTON</v>
      </c>
      <c r="D4799" s="1" t="str">
        <f>"IN"</f>
        <v>IN</v>
      </c>
      <c r="E4799" s="2">
        <v>1</v>
      </c>
      <c r="F4799" s="2">
        <v>1</v>
      </c>
      <c r="G4799" s="2">
        <v>1</v>
      </c>
      <c r="H4799" s="2">
        <v>1</v>
      </c>
    </row>
    <row r="4800" spans="1:8" x14ac:dyDescent="0.25">
      <c r="A4800" s="1" t="str">
        <f>"48070"</f>
        <v>48070</v>
      </c>
      <c r="B4800" s="1" t="str">
        <f>"47664"</f>
        <v>47664</v>
      </c>
      <c r="C4800" s="1" t="str">
        <f>"HUNTINGTON WOODS"</f>
        <v>HUNTINGTON WOODS</v>
      </c>
      <c r="D4800" s="1" t="str">
        <f>"MI"</f>
        <v>MI</v>
      </c>
      <c r="E4800" s="2">
        <v>1</v>
      </c>
      <c r="F4800" s="2">
        <v>1</v>
      </c>
      <c r="G4800" s="2">
        <v>1</v>
      </c>
      <c r="H4800" s="2">
        <v>1</v>
      </c>
    </row>
    <row r="4801" spans="1:8" x14ac:dyDescent="0.25">
      <c r="A4801" s="1" t="str">
        <f>"48377"</f>
        <v>48377</v>
      </c>
      <c r="B4801" s="1" t="str">
        <f>"47664"</f>
        <v>47664</v>
      </c>
      <c r="C4801" s="1" t="str">
        <f>"NOVI"</f>
        <v>NOVI</v>
      </c>
      <c r="D4801" s="1" t="str">
        <f>"MI"</f>
        <v>MI</v>
      </c>
      <c r="E4801" s="2">
        <v>1</v>
      </c>
      <c r="F4801" s="2">
        <v>1</v>
      </c>
      <c r="G4801" s="2">
        <v>1</v>
      </c>
      <c r="H4801" s="2">
        <v>1</v>
      </c>
    </row>
    <row r="4802" spans="1:8" x14ac:dyDescent="0.25">
      <c r="A4802" s="1" t="str">
        <f>"48221"</f>
        <v>48221</v>
      </c>
      <c r="B4802" s="1" t="str">
        <f>"19804"</f>
        <v>19804</v>
      </c>
      <c r="C4802" s="1" t="str">
        <f>"DETROIT"</f>
        <v>DETROIT</v>
      </c>
      <c r="D4802" s="1" t="str">
        <f>"MI"</f>
        <v>MI</v>
      </c>
      <c r="E4802" s="2">
        <v>1</v>
      </c>
      <c r="F4802" s="2">
        <v>1</v>
      </c>
      <c r="G4802" s="2">
        <v>1</v>
      </c>
      <c r="H4802" s="2">
        <v>1</v>
      </c>
    </row>
    <row r="4803" spans="1:8" x14ac:dyDescent="0.25">
      <c r="A4803" s="1" t="str">
        <f>"60442"</f>
        <v>60442</v>
      </c>
      <c r="B4803" s="1" t="str">
        <f>"16984"</f>
        <v>16984</v>
      </c>
      <c r="C4803" s="1" t="str">
        <f>"MANHATTAN"</f>
        <v>MANHATTAN</v>
      </c>
      <c r="D4803" s="1" t="str">
        <f t="shared" ref="D4803:D4813" si="363">"IL"</f>
        <v>IL</v>
      </c>
      <c r="E4803" s="2">
        <v>1</v>
      </c>
      <c r="F4803" s="2">
        <v>1</v>
      </c>
      <c r="G4803" s="2">
        <v>1</v>
      </c>
      <c r="H4803" s="2">
        <v>1</v>
      </c>
    </row>
    <row r="4804" spans="1:8" x14ac:dyDescent="0.25">
      <c r="A4804" s="1" t="str">
        <f>"60411"</f>
        <v>60411</v>
      </c>
      <c r="B4804" s="1" t="str">
        <f>"16984"</f>
        <v>16984</v>
      </c>
      <c r="C4804" s="1" t="str">
        <f>"CHICAGO HEIGHTS"</f>
        <v>CHICAGO HEIGHTS</v>
      </c>
      <c r="D4804" s="1" t="str">
        <f t="shared" si="363"/>
        <v>IL</v>
      </c>
      <c r="E4804" s="2">
        <v>1</v>
      </c>
      <c r="F4804" s="2">
        <v>1</v>
      </c>
      <c r="G4804" s="2">
        <v>1</v>
      </c>
      <c r="H4804" s="2">
        <v>1</v>
      </c>
    </row>
    <row r="4805" spans="1:8" x14ac:dyDescent="0.25">
      <c r="A4805" s="1" t="str">
        <f>"60476"</f>
        <v>60476</v>
      </c>
      <c r="B4805" s="1" t="str">
        <f>"16984"</f>
        <v>16984</v>
      </c>
      <c r="C4805" s="1" t="str">
        <f>"THORNTON"</f>
        <v>THORNTON</v>
      </c>
      <c r="D4805" s="1" t="str">
        <f t="shared" si="363"/>
        <v>IL</v>
      </c>
      <c r="E4805" s="2">
        <v>1</v>
      </c>
      <c r="F4805" s="2">
        <v>1</v>
      </c>
      <c r="G4805" s="2">
        <v>1</v>
      </c>
      <c r="H4805" s="2">
        <v>1</v>
      </c>
    </row>
    <row r="4806" spans="1:8" x14ac:dyDescent="0.25">
      <c r="A4806" s="1" t="str">
        <f>"60586"</f>
        <v>60586</v>
      </c>
      <c r="B4806" s="1" t="str">
        <f>"16984"</f>
        <v>16984</v>
      </c>
      <c r="C4806" s="1" t="str">
        <f>"PLAINFIELD"</f>
        <v>PLAINFIELD</v>
      </c>
      <c r="D4806" s="1" t="str">
        <f t="shared" si="363"/>
        <v>IL</v>
      </c>
      <c r="E4806" s="2">
        <v>0.88393782383419595</v>
      </c>
      <c r="F4806" s="2">
        <v>0.99551569506726401</v>
      </c>
      <c r="G4806" s="2">
        <v>0.98373983739837301</v>
      </c>
      <c r="H4806" s="2">
        <v>0.88781310512836498</v>
      </c>
    </row>
    <row r="4807" spans="1:8" x14ac:dyDescent="0.25">
      <c r="A4807" s="1" t="str">
        <f>"60586"</f>
        <v>60586</v>
      </c>
      <c r="B4807" s="1" t="str">
        <f>"20994"</f>
        <v>20994</v>
      </c>
      <c r="C4807" s="1" t="str">
        <f>"PLAINFIELD"</f>
        <v>PLAINFIELD</v>
      </c>
      <c r="D4807" s="1" t="str">
        <f t="shared" si="363"/>
        <v>IL</v>
      </c>
      <c r="E4807" s="2">
        <v>0.116062176165803</v>
      </c>
      <c r="F4807" s="2">
        <v>4.4843049327354199E-3</v>
      </c>
      <c r="G4807" s="2">
        <v>1.6260162601626001E-2</v>
      </c>
      <c r="H4807" s="2">
        <v>0.112186894871634</v>
      </c>
    </row>
    <row r="4808" spans="1:8" x14ac:dyDescent="0.25">
      <c r="A4808" s="1" t="str">
        <f>"60548"</f>
        <v>60548</v>
      </c>
      <c r="B4808" s="1" t="str">
        <f>"20994"</f>
        <v>20994</v>
      </c>
      <c r="C4808" s="1" t="str">
        <f>"SANDWICH"</f>
        <v>SANDWICH</v>
      </c>
      <c r="D4808" s="1" t="str">
        <f t="shared" si="363"/>
        <v>IL</v>
      </c>
      <c r="E4808" s="2">
        <v>1</v>
      </c>
      <c r="F4808" s="2">
        <v>1</v>
      </c>
      <c r="G4808" s="2">
        <v>1</v>
      </c>
      <c r="H4808" s="2">
        <v>1</v>
      </c>
    </row>
    <row r="4809" spans="1:8" x14ac:dyDescent="0.25">
      <c r="A4809" s="1" t="str">
        <f>"60067"</f>
        <v>60067</v>
      </c>
      <c r="B4809" s="1" t="str">
        <f>"16984"</f>
        <v>16984</v>
      </c>
      <c r="C4809" s="1" t="str">
        <f>"PALATINE"</f>
        <v>PALATINE</v>
      </c>
      <c r="D4809" s="1" t="str">
        <f t="shared" si="363"/>
        <v>IL</v>
      </c>
      <c r="E4809" s="2">
        <v>1</v>
      </c>
      <c r="F4809" s="2">
        <v>1</v>
      </c>
      <c r="G4809" s="2">
        <v>1</v>
      </c>
      <c r="H4809" s="2">
        <v>1</v>
      </c>
    </row>
    <row r="4810" spans="1:8" x14ac:dyDescent="0.25">
      <c r="A4810" s="1" t="str">
        <f>"60076"</f>
        <v>60076</v>
      </c>
      <c r="B4810" s="1" t="str">
        <f>"16984"</f>
        <v>16984</v>
      </c>
      <c r="C4810" s="1" t="str">
        <f>"SKOKIE"</f>
        <v>SKOKIE</v>
      </c>
      <c r="D4810" s="1" t="str">
        <f t="shared" si="363"/>
        <v>IL</v>
      </c>
      <c r="E4810" s="2">
        <v>1</v>
      </c>
      <c r="F4810" s="2">
        <v>1</v>
      </c>
      <c r="G4810" s="2">
        <v>1</v>
      </c>
      <c r="H4810" s="2">
        <v>1</v>
      </c>
    </row>
    <row r="4811" spans="1:8" x14ac:dyDescent="0.25">
      <c r="A4811" s="1" t="str">
        <f>"60084"</f>
        <v>60084</v>
      </c>
      <c r="B4811" s="1" t="str">
        <f>"29404"</f>
        <v>29404</v>
      </c>
      <c r="C4811" s="1" t="str">
        <f>"WAUCONDA"</f>
        <v>WAUCONDA</v>
      </c>
      <c r="D4811" s="1" t="str">
        <f t="shared" si="363"/>
        <v>IL</v>
      </c>
      <c r="E4811" s="2">
        <v>1</v>
      </c>
      <c r="F4811" s="2">
        <v>1</v>
      </c>
      <c r="G4811" s="2">
        <v>1</v>
      </c>
      <c r="H4811" s="2">
        <v>1</v>
      </c>
    </row>
    <row r="4812" spans="1:8" x14ac:dyDescent="0.25">
      <c r="A4812" s="1" t="str">
        <f>"60666"</f>
        <v>60666</v>
      </c>
      <c r="B4812" s="1" t="str">
        <f>"16984"</f>
        <v>16984</v>
      </c>
      <c r="C4812" s="1" t="str">
        <f>"CHICAGO"</f>
        <v>CHICAGO</v>
      </c>
      <c r="D4812" s="1" t="str">
        <f t="shared" si="363"/>
        <v>IL</v>
      </c>
      <c r="E4812" s="2">
        <v>1</v>
      </c>
      <c r="F4812" s="2">
        <v>1</v>
      </c>
      <c r="G4812" s="2">
        <v>1</v>
      </c>
      <c r="H4812" s="2">
        <v>1</v>
      </c>
    </row>
    <row r="4813" spans="1:8" x14ac:dyDescent="0.25">
      <c r="A4813" s="1" t="str">
        <f>"60603"</f>
        <v>60603</v>
      </c>
      <c r="B4813" s="1" t="str">
        <f>"16984"</f>
        <v>16984</v>
      </c>
      <c r="C4813" s="1" t="str">
        <f>"CHICAGO"</f>
        <v>CHICAGO</v>
      </c>
      <c r="D4813" s="1" t="str">
        <f t="shared" si="363"/>
        <v>IL</v>
      </c>
      <c r="E4813" s="2">
        <v>1</v>
      </c>
      <c r="F4813" s="2">
        <v>1</v>
      </c>
      <c r="G4813" s="2">
        <v>1</v>
      </c>
      <c r="H4813" s="2">
        <v>1</v>
      </c>
    </row>
    <row r="4814" spans="1:8" x14ac:dyDescent="0.25">
      <c r="A4814" s="1" t="str">
        <f>"75247"</f>
        <v>75247</v>
      </c>
      <c r="B4814" s="1" t="str">
        <f>"19124"</f>
        <v>19124</v>
      </c>
      <c r="C4814" s="1" t="str">
        <f>"DALLAS"</f>
        <v>DALLAS</v>
      </c>
      <c r="D4814" s="1" t="str">
        <f t="shared" ref="D4814:D4819" si="364">"TX"</f>
        <v>TX</v>
      </c>
      <c r="E4814" s="2">
        <v>1</v>
      </c>
      <c r="F4814" s="2">
        <v>1</v>
      </c>
      <c r="G4814" s="2">
        <v>1</v>
      </c>
      <c r="H4814" s="2">
        <v>1</v>
      </c>
    </row>
    <row r="4815" spans="1:8" x14ac:dyDescent="0.25">
      <c r="A4815" s="1" t="str">
        <f>"75214"</f>
        <v>75214</v>
      </c>
      <c r="B4815" s="1" t="str">
        <f>"19124"</f>
        <v>19124</v>
      </c>
      <c r="C4815" s="1" t="str">
        <f>"DALLAS"</f>
        <v>DALLAS</v>
      </c>
      <c r="D4815" s="1" t="str">
        <f t="shared" si="364"/>
        <v>TX</v>
      </c>
      <c r="E4815" s="2">
        <v>1</v>
      </c>
      <c r="F4815" s="2">
        <v>1</v>
      </c>
      <c r="G4815" s="2">
        <v>1</v>
      </c>
      <c r="H4815" s="2">
        <v>1</v>
      </c>
    </row>
    <row r="4816" spans="1:8" x14ac:dyDescent="0.25">
      <c r="A4816" s="1" t="str">
        <f>"75081"</f>
        <v>75081</v>
      </c>
      <c r="B4816" s="1" t="str">
        <f>"19124"</f>
        <v>19124</v>
      </c>
      <c r="C4816" s="1" t="str">
        <f>"RICHARDSON"</f>
        <v>RICHARDSON</v>
      </c>
      <c r="D4816" s="1" t="str">
        <f t="shared" si="364"/>
        <v>TX</v>
      </c>
      <c r="E4816" s="2">
        <v>1</v>
      </c>
      <c r="F4816" s="2">
        <v>1</v>
      </c>
      <c r="G4816" s="2">
        <v>1</v>
      </c>
      <c r="H4816" s="2">
        <v>1</v>
      </c>
    </row>
    <row r="4817" spans="1:8" x14ac:dyDescent="0.25">
      <c r="A4817" s="1" t="str">
        <f>"75203"</f>
        <v>75203</v>
      </c>
      <c r="B4817" s="1" t="str">
        <f>"19124"</f>
        <v>19124</v>
      </c>
      <c r="C4817" s="1" t="str">
        <f>"DALLAS"</f>
        <v>DALLAS</v>
      </c>
      <c r="D4817" s="1" t="str">
        <f t="shared" si="364"/>
        <v>TX</v>
      </c>
      <c r="E4817" s="2">
        <v>1</v>
      </c>
      <c r="F4817" s="2">
        <v>1</v>
      </c>
      <c r="G4817" s="2">
        <v>1</v>
      </c>
      <c r="H4817" s="2">
        <v>1</v>
      </c>
    </row>
    <row r="4818" spans="1:8" x14ac:dyDescent="0.25">
      <c r="A4818" s="1" t="str">
        <f>"75158"</f>
        <v>75158</v>
      </c>
      <c r="B4818" s="1" t="str">
        <f>"19124"</f>
        <v>19124</v>
      </c>
      <c r="C4818" s="1" t="str">
        <f>"SCURRY"</f>
        <v>SCURRY</v>
      </c>
      <c r="D4818" s="1" t="str">
        <f t="shared" si="364"/>
        <v>TX</v>
      </c>
      <c r="E4818" s="2">
        <v>1</v>
      </c>
      <c r="F4818" s="2">
        <v>1</v>
      </c>
      <c r="G4818" s="2">
        <v>1</v>
      </c>
      <c r="H4818" s="2">
        <v>1</v>
      </c>
    </row>
    <row r="4819" spans="1:8" x14ac:dyDescent="0.25">
      <c r="A4819" s="1" t="str">
        <f>"76111"</f>
        <v>76111</v>
      </c>
      <c r="B4819" s="1" t="str">
        <f>"23104"</f>
        <v>23104</v>
      </c>
      <c r="C4819" s="1" t="str">
        <f>"FORT WORTH"</f>
        <v>FORT WORTH</v>
      </c>
      <c r="D4819" s="1" t="str">
        <f t="shared" si="364"/>
        <v>TX</v>
      </c>
      <c r="E4819" s="2">
        <v>1</v>
      </c>
      <c r="F4819" s="2">
        <v>1</v>
      </c>
      <c r="G4819" s="2">
        <v>1</v>
      </c>
      <c r="H4819" s="2">
        <v>1</v>
      </c>
    </row>
    <row r="4820" spans="1:8" x14ac:dyDescent="0.25">
      <c r="A4820" s="1" t="str">
        <f>"90079"</f>
        <v>90079</v>
      </c>
      <c r="B4820" s="1" t="str">
        <f>"31084"</f>
        <v>31084</v>
      </c>
      <c r="C4820" s="1" t="str">
        <f>"LOS ANGELES"</f>
        <v>LOS ANGELES</v>
      </c>
      <c r="D4820" s="1" t="str">
        <f t="shared" ref="D4820:D4839" si="365">"CA"</f>
        <v>CA</v>
      </c>
      <c r="E4820" s="2">
        <v>1</v>
      </c>
      <c r="F4820" s="2">
        <v>1</v>
      </c>
      <c r="G4820" s="2">
        <v>1</v>
      </c>
      <c r="H4820" s="2">
        <v>1</v>
      </c>
    </row>
    <row r="4821" spans="1:8" x14ac:dyDescent="0.25">
      <c r="A4821" s="1" t="str">
        <f>"90264"</f>
        <v>90264</v>
      </c>
      <c r="B4821" s="1" t="str">
        <f>"31084"</f>
        <v>31084</v>
      </c>
      <c r="C4821" s="1" t="str">
        <f>"MALIBU"</f>
        <v>MALIBU</v>
      </c>
      <c r="D4821" s="1" t="str">
        <f t="shared" si="365"/>
        <v>CA</v>
      </c>
      <c r="E4821" s="2">
        <v>1</v>
      </c>
      <c r="F4821" s="2">
        <v>1</v>
      </c>
      <c r="G4821" s="2">
        <v>1</v>
      </c>
      <c r="H4821" s="2">
        <v>1</v>
      </c>
    </row>
    <row r="4822" spans="1:8" x14ac:dyDescent="0.25">
      <c r="A4822" s="1" t="str">
        <f>"90631"</f>
        <v>90631</v>
      </c>
      <c r="B4822" s="1" t="str">
        <f>"31084"</f>
        <v>31084</v>
      </c>
      <c r="C4822" s="1" t="str">
        <f>"LA HABRA"</f>
        <v>LA HABRA</v>
      </c>
      <c r="D4822" s="1" t="str">
        <f t="shared" si="365"/>
        <v>CA</v>
      </c>
      <c r="E4822" s="2">
        <v>9.24157423664939E-2</v>
      </c>
      <c r="F4822" s="2">
        <v>5.2151238591916496E-3</v>
      </c>
      <c r="G4822" s="2">
        <v>0</v>
      </c>
      <c r="H4822" s="2">
        <v>7.9127771295215796E-2</v>
      </c>
    </row>
    <row r="4823" spans="1:8" x14ac:dyDescent="0.25">
      <c r="A4823" s="1" t="str">
        <f>"90631"</f>
        <v>90631</v>
      </c>
      <c r="B4823" s="1" t="str">
        <f>"11244"</f>
        <v>11244</v>
      </c>
      <c r="C4823" s="1" t="str">
        <f>"LA HABRA"</f>
        <v>LA HABRA</v>
      </c>
      <c r="D4823" s="1" t="str">
        <f t="shared" si="365"/>
        <v>CA</v>
      </c>
      <c r="E4823" s="2">
        <v>0.90758425763350603</v>
      </c>
      <c r="F4823" s="2">
        <v>0.99478487614080802</v>
      </c>
      <c r="G4823" s="2">
        <v>1</v>
      </c>
      <c r="H4823" s="2">
        <v>0.92087222870478402</v>
      </c>
    </row>
    <row r="4824" spans="1:8" x14ac:dyDescent="0.25">
      <c r="A4824" s="1" t="str">
        <f>"90401"</f>
        <v>90401</v>
      </c>
      <c r="B4824" s="1" t="str">
        <f t="shared" ref="B4824:B4831" si="366">"31084"</f>
        <v>31084</v>
      </c>
      <c r="C4824" s="1" t="str">
        <f>"SANTA MONICA"</f>
        <v>SANTA MONICA</v>
      </c>
      <c r="D4824" s="1" t="str">
        <f t="shared" si="365"/>
        <v>CA</v>
      </c>
      <c r="E4824" s="2">
        <v>1</v>
      </c>
      <c r="F4824" s="2">
        <v>1</v>
      </c>
      <c r="G4824" s="2">
        <v>1</v>
      </c>
      <c r="H4824" s="2">
        <v>1</v>
      </c>
    </row>
    <row r="4825" spans="1:8" x14ac:dyDescent="0.25">
      <c r="A4825" s="1" t="str">
        <f>"91504"</f>
        <v>91504</v>
      </c>
      <c r="B4825" s="1" t="str">
        <f t="shared" si="366"/>
        <v>31084</v>
      </c>
      <c r="C4825" s="1" t="str">
        <f>"BURBANK"</f>
        <v>BURBANK</v>
      </c>
      <c r="D4825" s="1" t="str">
        <f t="shared" si="365"/>
        <v>CA</v>
      </c>
      <c r="E4825" s="2">
        <v>1</v>
      </c>
      <c r="F4825" s="2">
        <v>1</v>
      </c>
      <c r="G4825" s="2">
        <v>1</v>
      </c>
      <c r="H4825" s="2">
        <v>1</v>
      </c>
    </row>
    <row r="4826" spans="1:8" x14ac:dyDescent="0.25">
      <c r="A4826" s="1" t="str">
        <f>"93536"</f>
        <v>93536</v>
      </c>
      <c r="B4826" s="1" t="str">
        <f t="shared" si="366"/>
        <v>31084</v>
      </c>
      <c r="C4826" s="1" t="str">
        <f>"LANCASTER"</f>
        <v>LANCASTER</v>
      </c>
      <c r="D4826" s="1" t="str">
        <f t="shared" si="365"/>
        <v>CA</v>
      </c>
      <c r="E4826" s="2">
        <v>1</v>
      </c>
      <c r="F4826" s="2">
        <v>1</v>
      </c>
      <c r="G4826" s="2">
        <v>1</v>
      </c>
      <c r="H4826" s="2">
        <v>1</v>
      </c>
    </row>
    <row r="4827" spans="1:8" x14ac:dyDescent="0.25">
      <c r="A4827" s="1" t="str">
        <f>"91105"</f>
        <v>91105</v>
      </c>
      <c r="B4827" s="1" t="str">
        <f t="shared" si="366"/>
        <v>31084</v>
      </c>
      <c r="C4827" s="1" t="str">
        <f>"PASADENA"</f>
        <v>PASADENA</v>
      </c>
      <c r="D4827" s="1" t="str">
        <f t="shared" si="365"/>
        <v>CA</v>
      </c>
      <c r="E4827" s="2">
        <v>1</v>
      </c>
      <c r="F4827" s="2">
        <v>1</v>
      </c>
      <c r="G4827" s="2">
        <v>1</v>
      </c>
      <c r="H4827" s="2">
        <v>1</v>
      </c>
    </row>
    <row r="4828" spans="1:8" x14ac:dyDescent="0.25">
      <c r="A4828" s="1" t="str">
        <f>"91042"</f>
        <v>91042</v>
      </c>
      <c r="B4828" s="1" t="str">
        <f t="shared" si="366"/>
        <v>31084</v>
      </c>
      <c r="C4828" s="1" t="str">
        <f>"TUJUNGA"</f>
        <v>TUJUNGA</v>
      </c>
      <c r="D4828" s="1" t="str">
        <f t="shared" si="365"/>
        <v>CA</v>
      </c>
      <c r="E4828" s="2">
        <v>1</v>
      </c>
      <c r="F4828" s="2">
        <v>1</v>
      </c>
      <c r="G4828" s="2">
        <v>1</v>
      </c>
      <c r="H4828" s="2">
        <v>1</v>
      </c>
    </row>
    <row r="4829" spans="1:8" x14ac:dyDescent="0.25">
      <c r="A4829" s="1" t="str">
        <f>"91102"</f>
        <v>91102</v>
      </c>
      <c r="B4829" s="1" t="str">
        <f t="shared" si="366"/>
        <v>31084</v>
      </c>
      <c r="C4829" s="1" t="str">
        <f>"PASADENA"</f>
        <v>PASADENA</v>
      </c>
      <c r="D4829" s="1" t="str">
        <f t="shared" si="365"/>
        <v>CA</v>
      </c>
      <c r="E4829" s="2">
        <v>1</v>
      </c>
      <c r="F4829" s="2">
        <v>1</v>
      </c>
      <c r="G4829" s="2">
        <v>1</v>
      </c>
      <c r="H4829" s="2">
        <v>1</v>
      </c>
    </row>
    <row r="4830" spans="1:8" x14ac:dyDescent="0.25">
      <c r="A4830" s="1" t="str">
        <f>"91204"</f>
        <v>91204</v>
      </c>
      <c r="B4830" s="1" t="str">
        <f t="shared" si="366"/>
        <v>31084</v>
      </c>
      <c r="C4830" s="1" t="str">
        <f>"GLENDALE"</f>
        <v>GLENDALE</v>
      </c>
      <c r="D4830" s="1" t="str">
        <f t="shared" si="365"/>
        <v>CA</v>
      </c>
      <c r="E4830" s="2">
        <v>1</v>
      </c>
      <c r="F4830" s="2">
        <v>1</v>
      </c>
      <c r="G4830" s="2">
        <v>1</v>
      </c>
      <c r="H4830" s="2">
        <v>1</v>
      </c>
    </row>
    <row r="4831" spans="1:8" x14ac:dyDescent="0.25">
      <c r="A4831" s="1" t="str">
        <f>"91206"</f>
        <v>91206</v>
      </c>
      <c r="B4831" s="1" t="str">
        <f t="shared" si="366"/>
        <v>31084</v>
      </c>
      <c r="C4831" s="1" t="str">
        <f>"GLENDALE"</f>
        <v>GLENDALE</v>
      </c>
      <c r="D4831" s="1" t="str">
        <f t="shared" si="365"/>
        <v>CA</v>
      </c>
      <c r="E4831" s="2">
        <v>1</v>
      </c>
      <c r="F4831" s="2">
        <v>1</v>
      </c>
      <c r="G4831" s="2">
        <v>1</v>
      </c>
      <c r="H4831" s="2">
        <v>1</v>
      </c>
    </row>
    <row r="4832" spans="1:8" x14ac:dyDescent="0.25">
      <c r="A4832" s="1" t="str">
        <f>"92704"</f>
        <v>92704</v>
      </c>
      <c r="B4832" s="1" t="str">
        <f>"11244"</f>
        <v>11244</v>
      </c>
      <c r="C4832" s="1" t="str">
        <f>"SANTA ANA"</f>
        <v>SANTA ANA</v>
      </c>
      <c r="D4832" s="1" t="str">
        <f t="shared" si="365"/>
        <v>CA</v>
      </c>
      <c r="E4832" s="2">
        <v>1</v>
      </c>
      <c r="F4832" s="2">
        <v>1</v>
      </c>
      <c r="G4832" s="2">
        <v>1</v>
      </c>
      <c r="H4832" s="2">
        <v>1</v>
      </c>
    </row>
    <row r="4833" spans="1:8" x14ac:dyDescent="0.25">
      <c r="A4833" s="1" t="str">
        <f>"92782"</f>
        <v>92782</v>
      </c>
      <c r="B4833" s="1" t="str">
        <f>"11244"</f>
        <v>11244</v>
      </c>
      <c r="C4833" s="1" t="str">
        <f>"TUSTIN"</f>
        <v>TUSTIN</v>
      </c>
      <c r="D4833" s="1" t="str">
        <f t="shared" si="365"/>
        <v>CA</v>
      </c>
      <c r="E4833" s="2">
        <v>1</v>
      </c>
      <c r="F4833" s="2">
        <v>1</v>
      </c>
      <c r="G4833" s="2">
        <v>1</v>
      </c>
      <c r="H4833" s="2">
        <v>1</v>
      </c>
    </row>
    <row r="4834" spans="1:8" x14ac:dyDescent="0.25">
      <c r="A4834" s="1" t="str">
        <f>"91768"</f>
        <v>91768</v>
      </c>
      <c r="B4834" s="1" t="str">
        <f>"31084"</f>
        <v>31084</v>
      </c>
      <c r="C4834" s="1" t="str">
        <f>"POMONA"</f>
        <v>POMONA</v>
      </c>
      <c r="D4834" s="1" t="str">
        <f t="shared" si="365"/>
        <v>CA</v>
      </c>
      <c r="E4834" s="2">
        <v>1</v>
      </c>
      <c r="F4834" s="2">
        <v>1</v>
      </c>
      <c r="G4834" s="2">
        <v>1</v>
      </c>
      <c r="H4834" s="2">
        <v>1</v>
      </c>
    </row>
    <row r="4835" spans="1:8" x14ac:dyDescent="0.25">
      <c r="A4835" s="1" t="str">
        <f>"91765"</f>
        <v>91765</v>
      </c>
      <c r="B4835" s="1" t="str">
        <f>"31084"</f>
        <v>31084</v>
      </c>
      <c r="C4835" s="1" t="str">
        <f>"DIAMOND BAR"</f>
        <v>DIAMOND BAR</v>
      </c>
      <c r="D4835" s="1" t="str">
        <f t="shared" si="365"/>
        <v>CA</v>
      </c>
      <c r="E4835" s="2">
        <v>1</v>
      </c>
      <c r="F4835" s="2">
        <v>1</v>
      </c>
      <c r="G4835" s="2">
        <v>1</v>
      </c>
      <c r="H4835" s="2">
        <v>1</v>
      </c>
    </row>
    <row r="4836" spans="1:8" x14ac:dyDescent="0.25">
      <c r="A4836" s="1" t="str">
        <f>"94118"</f>
        <v>94118</v>
      </c>
      <c r="B4836" s="1" t="str">
        <f>"41884"</f>
        <v>41884</v>
      </c>
      <c r="C4836" s="1" t="str">
        <f>"SAN FRANCISCO"</f>
        <v>SAN FRANCISCO</v>
      </c>
      <c r="D4836" s="1" t="str">
        <f t="shared" si="365"/>
        <v>CA</v>
      </c>
      <c r="E4836" s="2">
        <v>1</v>
      </c>
      <c r="F4836" s="2">
        <v>1</v>
      </c>
      <c r="G4836" s="2">
        <v>1</v>
      </c>
      <c r="H4836" s="2">
        <v>1</v>
      </c>
    </row>
    <row r="4837" spans="1:8" x14ac:dyDescent="0.25">
      <c r="A4837" s="1" t="str">
        <f>"94619"</f>
        <v>94619</v>
      </c>
      <c r="B4837" s="1" t="str">
        <f>"36084"</f>
        <v>36084</v>
      </c>
      <c r="C4837" s="1" t="str">
        <f>"OAKLAND"</f>
        <v>OAKLAND</v>
      </c>
      <c r="D4837" s="1" t="str">
        <f t="shared" si="365"/>
        <v>CA</v>
      </c>
      <c r="E4837" s="2">
        <v>1</v>
      </c>
      <c r="F4837" s="2">
        <v>1</v>
      </c>
      <c r="G4837" s="2">
        <v>1</v>
      </c>
      <c r="H4837" s="2">
        <v>1</v>
      </c>
    </row>
    <row r="4838" spans="1:8" x14ac:dyDescent="0.25">
      <c r="A4838" s="1" t="str">
        <f>"94703"</f>
        <v>94703</v>
      </c>
      <c r="B4838" s="1" t="str">
        <f>"36084"</f>
        <v>36084</v>
      </c>
      <c r="C4838" s="1" t="str">
        <f>"BERKELEY"</f>
        <v>BERKELEY</v>
      </c>
      <c r="D4838" s="1" t="str">
        <f t="shared" si="365"/>
        <v>CA</v>
      </c>
      <c r="E4838" s="2">
        <v>1</v>
      </c>
      <c r="F4838" s="2">
        <v>1</v>
      </c>
      <c r="G4838" s="2">
        <v>1</v>
      </c>
      <c r="H4838" s="2">
        <v>1</v>
      </c>
    </row>
    <row r="4839" spans="1:8" x14ac:dyDescent="0.25">
      <c r="A4839" s="1" t="str">
        <f>"94720"</f>
        <v>94720</v>
      </c>
      <c r="B4839" s="1" t="str">
        <f>"36084"</f>
        <v>36084</v>
      </c>
      <c r="C4839" s="1" t="str">
        <f>"BERKELEY"</f>
        <v>BERKELEY</v>
      </c>
      <c r="D4839" s="1" t="str">
        <f t="shared" si="365"/>
        <v>CA</v>
      </c>
      <c r="E4839" s="2">
        <v>1</v>
      </c>
      <c r="F4839" s="2">
        <v>1</v>
      </c>
      <c r="G4839" s="2">
        <v>1</v>
      </c>
      <c r="H4839" s="2">
        <v>1</v>
      </c>
    </row>
    <row r="4840" spans="1:8" x14ac:dyDescent="0.25">
      <c r="A4840" s="1" t="str">
        <f>"98296"</f>
        <v>98296</v>
      </c>
      <c r="B4840" s="1" t="str">
        <f>"42644"</f>
        <v>42644</v>
      </c>
      <c r="C4840" s="1" t="str">
        <f>"SNOHOMISH"</f>
        <v>SNOHOMISH</v>
      </c>
      <c r="D4840" s="1" t="str">
        <f>"WA"</f>
        <v>WA</v>
      </c>
      <c r="E4840" s="2">
        <v>1</v>
      </c>
      <c r="F4840" s="2">
        <v>1</v>
      </c>
      <c r="G4840" s="2">
        <v>1</v>
      </c>
      <c r="H4840" s="2">
        <v>1</v>
      </c>
    </row>
    <row r="4841" spans="1:8" x14ac:dyDescent="0.25">
      <c r="A4841" s="1" t="str">
        <f>"98241"</f>
        <v>98241</v>
      </c>
      <c r="B4841" s="1" t="str">
        <f>"42644"</f>
        <v>42644</v>
      </c>
      <c r="C4841" s="1" t="str">
        <f>"DARRINGTON"</f>
        <v>DARRINGTON</v>
      </c>
      <c r="D4841" s="1" t="str">
        <f>"WA"</f>
        <v>WA</v>
      </c>
      <c r="E4841" s="2">
        <v>1</v>
      </c>
      <c r="F4841" s="2">
        <v>1</v>
      </c>
      <c r="G4841" s="2">
        <v>1</v>
      </c>
      <c r="H4841" s="2">
        <v>1</v>
      </c>
    </row>
    <row r="4842" spans="1:8" x14ac:dyDescent="0.25">
      <c r="A4842" s="1" t="str">
        <f>"08360"</f>
        <v>08360</v>
      </c>
      <c r="B4842" s="1" t="str">
        <f>"15804"</f>
        <v>15804</v>
      </c>
      <c r="C4842" s="1" t="str">
        <f>"VINELAND"</f>
        <v>VINELAND</v>
      </c>
      <c r="D4842" s="1" t="str">
        <f>"NJ"</f>
        <v>NJ</v>
      </c>
      <c r="E4842" s="2">
        <v>1</v>
      </c>
      <c r="F4842" s="2">
        <v>1</v>
      </c>
      <c r="G4842" s="2">
        <v>1</v>
      </c>
      <c r="H4842" s="2">
        <v>1</v>
      </c>
    </row>
    <row r="4843" spans="1:8" x14ac:dyDescent="0.25">
      <c r="A4843" s="1" t="str">
        <f>"10158"</f>
        <v>10158</v>
      </c>
      <c r="B4843" s="1" t="str">
        <f>"35614"</f>
        <v>35614</v>
      </c>
      <c r="C4843" s="1" t="str">
        <f>"NEW YORK"</f>
        <v>NEW YORK</v>
      </c>
      <c r="D4843" s="1" t="str">
        <f>"NY"</f>
        <v>NY</v>
      </c>
      <c r="E4843" s="2">
        <v>0</v>
      </c>
      <c r="F4843" s="2">
        <v>1</v>
      </c>
      <c r="G4843" s="2">
        <v>1</v>
      </c>
      <c r="H4843" s="2">
        <v>1</v>
      </c>
    </row>
    <row r="4844" spans="1:8" x14ac:dyDescent="0.25">
      <c r="A4844" s="1" t="str">
        <f>"20812"</f>
        <v>20812</v>
      </c>
      <c r="B4844" s="1" t="str">
        <f>"23224"</f>
        <v>23224</v>
      </c>
      <c r="C4844" s="1" t="str">
        <f>"GLEN ECHO"</f>
        <v>GLEN ECHO</v>
      </c>
      <c r="D4844" s="1" t="str">
        <f>"MD"</f>
        <v>MD</v>
      </c>
      <c r="E4844" s="2">
        <v>1</v>
      </c>
      <c r="F4844" s="2">
        <v>1</v>
      </c>
      <c r="G4844" s="2">
        <v>1</v>
      </c>
      <c r="H4844" s="2">
        <v>1</v>
      </c>
    </row>
    <row r="4845" spans="1:8" x14ac:dyDescent="0.25">
      <c r="A4845" s="1" t="str">
        <f>"33101"</f>
        <v>33101</v>
      </c>
      <c r="B4845" s="1" t="str">
        <f>"33124"</f>
        <v>33124</v>
      </c>
      <c r="C4845" s="1" t="str">
        <f>"MIAMI"</f>
        <v>MIAMI</v>
      </c>
      <c r="D4845" s="1" t="str">
        <f>"FL"</f>
        <v>FL</v>
      </c>
      <c r="E4845" s="2">
        <v>1</v>
      </c>
      <c r="F4845" s="2">
        <v>1</v>
      </c>
      <c r="G4845" s="2">
        <v>1</v>
      </c>
      <c r="H4845" s="2">
        <v>1</v>
      </c>
    </row>
    <row r="4846" spans="1:8" x14ac:dyDescent="0.25">
      <c r="A4846" s="1" t="str">
        <f>"33394"</f>
        <v>33394</v>
      </c>
      <c r="B4846" s="1" t="str">
        <f>"22744"</f>
        <v>22744</v>
      </c>
      <c r="C4846" s="1" t="str">
        <f>"FORT LAUDERDALE"</f>
        <v>FORT LAUDERDALE</v>
      </c>
      <c r="D4846" s="1" t="str">
        <f>"FL"</f>
        <v>FL</v>
      </c>
      <c r="E4846" s="2">
        <v>0</v>
      </c>
      <c r="F4846" s="2">
        <v>1</v>
      </c>
      <c r="G4846" s="2">
        <v>1</v>
      </c>
      <c r="H4846" s="2">
        <v>1</v>
      </c>
    </row>
    <row r="4847" spans="1:8" x14ac:dyDescent="0.25">
      <c r="A4847" s="1" t="str">
        <f>"48330"</f>
        <v>48330</v>
      </c>
      <c r="B4847" s="1" t="str">
        <f>"47664"</f>
        <v>47664</v>
      </c>
      <c r="C4847" s="1" t="str">
        <f>"DRAYTON PLAINS"</f>
        <v>DRAYTON PLAINS</v>
      </c>
      <c r="D4847" s="1" t="str">
        <f>"MI"</f>
        <v>MI</v>
      </c>
      <c r="E4847" s="2">
        <v>1</v>
      </c>
      <c r="F4847" s="2">
        <v>1</v>
      </c>
      <c r="G4847" s="2">
        <v>1</v>
      </c>
      <c r="H4847" s="2">
        <v>1</v>
      </c>
    </row>
    <row r="4848" spans="1:8" x14ac:dyDescent="0.25">
      <c r="A4848" s="1" t="str">
        <f>"98213"</f>
        <v>98213</v>
      </c>
      <c r="B4848" s="1" t="str">
        <f>"42644"</f>
        <v>42644</v>
      </c>
      <c r="C4848" s="1" t="str">
        <f>"EVERETT"</f>
        <v>EVERETT</v>
      </c>
      <c r="D4848" s="1" t="str">
        <f>"WA"</f>
        <v>WA</v>
      </c>
      <c r="E4848" s="2">
        <v>1</v>
      </c>
      <c r="F4848" s="2">
        <v>1</v>
      </c>
      <c r="G4848" s="2">
        <v>0</v>
      </c>
      <c r="H4848" s="2">
        <v>1</v>
      </c>
    </row>
    <row r="4849" spans="1:8" x14ac:dyDescent="0.25">
      <c r="A4849" s="1" t="str">
        <f>"03855"</f>
        <v>03855</v>
      </c>
      <c r="B4849" s="1" t="str">
        <f>"40484"</f>
        <v>40484</v>
      </c>
      <c r="C4849" s="1" t="str">
        <f>"NEW DURHAM"</f>
        <v>NEW DURHAM</v>
      </c>
      <c r="D4849" s="1" t="str">
        <f>"NH"</f>
        <v>NH</v>
      </c>
      <c r="E4849" s="2">
        <v>1</v>
      </c>
      <c r="F4849" s="2">
        <v>1</v>
      </c>
      <c r="G4849" s="2">
        <v>1</v>
      </c>
      <c r="H4849" s="2">
        <v>1</v>
      </c>
    </row>
    <row r="4850" spans="1:8" x14ac:dyDescent="0.25">
      <c r="A4850" s="1" t="str">
        <f>"10964"</f>
        <v>10964</v>
      </c>
      <c r="B4850" s="1" t="str">
        <f>"35614"</f>
        <v>35614</v>
      </c>
      <c r="C4850" s="1" t="str">
        <f>"PALISADES"</f>
        <v>PALISADES</v>
      </c>
      <c r="D4850" s="1" t="str">
        <f>"NY"</f>
        <v>NY</v>
      </c>
      <c r="E4850" s="2">
        <v>1</v>
      </c>
      <c r="F4850" s="2">
        <v>1</v>
      </c>
      <c r="G4850" s="2">
        <v>1</v>
      </c>
      <c r="H4850" s="2">
        <v>1</v>
      </c>
    </row>
    <row r="4851" spans="1:8" x14ac:dyDescent="0.25">
      <c r="A4851" s="1" t="str">
        <f>"75404"</f>
        <v>75404</v>
      </c>
      <c r="B4851" s="1" t="str">
        <f>"19124"</f>
        <v>19124</v>
      </c>
      <c r="C4851" s="1" t="str">
        <f>"GREENVILLE"</f>
        <v>GREENVILLE</v>
      </c>
      <c r="D4851" s="1" t="str">
        <f>"TX"</f>
        <v>TX</v>
      </c>
      <c r="E4851" s="2">
        <v>1</v>
      </c>
      <c r="F4851" s="2">
        <v>1</v>
      </c>
      <c r="G4851" s="2">
        <v>1</v>
      </c>
      <c r="H4851" s="2">
        <v>1</v>
      </c>
    </row>
    <row r="4852" spans="1:8" x14ac:dyDescent="0.25">
      <c r="A4852" s="1" t="str">
        <f>"76127"</f>
        <v>76127</v>
      </c>
      <c r="B4852" s="1" t="str">
        <f>"23104"</f>
        <v>23104</v>
      </c>
      <c r="C4852" s="1" t="str">
        <f>"NAVAL AIR STATION JRB"</f>
        <v>NAVAL AIR STATION JRB</v>
      </c>
      <c r="D4852" s="1" t="str">
        <f>"TX"</f>
        <v>TX</v>
      </c>
      <c r="E4852" s="2">
        <v>1</v>
      </c>
      <c r="F4852" s="2">
        <v>1</v>
      </c>
      <c r="G4852" s="2">
        <v>1</v>
      </c>
      <c r="H4852" s="2">
        <v>1</v>
      </c>
    </row>
    <row r="4853" spans="1:8" x14ac:dyDescent="0.25">
      <c r="A4853" s="1" t="str">
        <f>"90095"</f>
        <v>90095</v>
      </c>
      <c r="B4853" s="1" t="str">
        <f>"31084"</f>
        <v>31084</v>
      </c>
      <c r="C4853" s="1" t="str">
        <f>"LOS ANGELES"</f>
        <v>LOS ANGELES</v>
      </c>
      <c r="D4853" s="1" t="str">
        <f>"CA"</f>
        <v>CA</v>
      </c>
      <c r="E4853" s="2">
        <v>1</v>
      </c>
      <c r="F4853" s="2">
        <v>1</v>
      </c>
      <c r="G4853" s="2">
        <v>1</v>
      </c>
      <c r="H4853" s="2">
        <v>1</v>
      </c>
    </row>
    <row r="4854" spans="1:8" x14ac:dyDescent="0.25">
      <c r="A4854" s="1" t="str">
        <f>"91372"</f>
        <v>91372</v>
      </c>
      <c r="B4854" s="1" t="str">
        <f>"31084"</f>
        <v>31084</v>
      </c>
      <c r="C4854" s="1" t="str">
        <f>"CALABASAS"</f>
        <v>CALABASAS</v>
      </c>
      <c r="D4854" s="1" t="str">
        <f>"CA"</f>
        <v>CA</v>
      </c>
      <c r="E4854" s="2">
        <v>1</v>
      </c>
      <c r="F4854" s="2">
        <v>1</v>
      </c>
      <c r="G4854" s="2">
        <v>1</v>
      </c>
      <c r="H4854" s="2">
        <v>1</v>
      </c>
    </row>
    <row r="4855" spans="1:8" x14ac:dyDescent="0.25">
      <c r="A4855" s="1" t="str">
        <f>"08073"</f>
        <v>08073</v>
      </c>
      <c r="B4855" s="1" t="str">
        <f>"15804"</f>
        <v>15804</v>
      </c>
      <c r="C4855" s="1" t="str">
        <f>"RANCOCAS"</f>
        <v>RANCOCAS</v>
      </c>
      <c r="D4855" s="1" t="str">
        <f>"NJ"</f>
        <v>NJ</v>
      </c>
      <c r="E4855" s="2">
        <v>1</v>
      </c>
      <c r="F4855" s="2">
        <v>1</v>
      </c>
      <c r="G4855" s="2">
        <v>1</v>
      </c>
      <c r="H4855" s="2">
        <v>1</v>
      </c>
    </row>
    <row r="4856" spans="1:8" x14ac:dyDescent="0.25">
      <c r="A4856" s="1" t="str">
        <f>"90734"</f>
        <v>90734</v>
      </c>
      <c r="B4856" s="1" t="str">
        <f>"31084"</f>
        <v>31084</v>
      </c>
      <c r="C4856" s="1" t="str">
        <f>"SAN PEDRO"</f>
        <v>SAN PEDRO</v>
      </c>
      <c r="D4856" s="1" t="str">
        <f>"CA"</f>
        <v>CA</v>
      </c>
      <c r="E4856" s="2">
        <v>1</v>
      </c>
      <c r="F4856" s="2">
        <v>1</v>
      </c>
      <c r="G4856" s="2">
        <v>1</v>
      </c>
      <c r="H4856" s="2">
        <v>1</v>
      </c>
    </row>
    <row r="4857" spans="1:8" x14ac:dyDescent="0.25">
      <c r="A4857" s="1" t="str">
        <f>"94143"</f>
        <v>94143</v>
      </c>
      <c r="B4857" s="1" t="str">
        <f>"41884"</f>
        <v>41884</v>
      </c>
      <c r="C4857" s="1" t="str">
        <f>"SAN FRANCISCO"</f>
        <v>SAN FRANCISCO</v>
      </c>
      <c r="D4857" s="1" t="str">
        <f>"CA"</f>
        <v>CA</v>
      </c>
      <c r="E4857" s="2">
        <v>0</v>
      </c>
      <c r="F4857" s="2">
        <v>1</v>
      </c>
      <c r="G4857" s="2">
        <v>0</v>
      </c>
      <c r="H4857" s="2">
        <v>1</v>
      </c>
    </row>
    <row r="4858" spans="1:8" x14ac:dyDescent="0.25">
      <c r="A4858" s="1" t="str">
        <f>"22730"</f>
        <v>22730</v>
      </c>
      <c r="B4858" s="1" t="str">
        <f>"47894"</f>
        <v>47894</v>
      </c>
      <c r="C4858" s="1" t="str">
        <f>"OAKPARK"</f>
        <v>OAKPARK</v>
      </c>
      <c r="D4858" s="1" t="str">
        <f>"VA"</f>
        <v>VA</v>
      </c>
      <c r="E4858" s="2">
        <v>1</v>
      </c>
      <c r="F4858" s="2">
        <v>1</v>
      </c>
      <c r="G4858" s="2">
        <v>0</v>
      </c>
      <c r="H4858" s="2">
        <v>1</v>
      </c>
    </row>
    <row r="4859" spans="1:8" x14ac:dyDescent="0.25">
      <c r="A4859" s="1" t="str">
        <f>"12531"</f>
        <v>12531</v>
      </c>
      <c r="B4859" s="1" t="str">
        <f>"35614"</f>
        <v>35614</v>
      </c>
      <c r="C4859" s="1" t="str">
        <f>"HOLMES"</f>
        <v>HOLMES</v>
      </c>
      <c r="D4859" s="1" t="str">
        <f>"NY"</f>
        <v>NY</v>
      </c>
      <c r="E4859" s="2">
        <v>1</v>
      </c>
      <c r="F4859" s="2">
        <v>1</v>
      </c>
      <c r="G4859" s="2">
        <v>1</v>
      </c>
      <c r="H4859" s="2">
        <v>1</v>
      </c>
    </row>
    <row r="4860" spans="1:8" x14ac:dyDescent="0.25">
      <c r="A4860" s="1" t="str">
        <f>"20541"</f>
        <v>20541</v>
      </c>
      <c r="B4860" s="1" t="str">
        <f>"47894"</f>
        <v>47894</v>
      </c>
      <c r="C4860" s="1" t="str">
        <f>"WASHINGTON"</f>
        <v>WASHINGTON</v>
      </c>
      <c r="D4860" s="1" t="str">
        <f>"DC"</f>
        <v>DC</v>
      </c>
      <c r="E4860" s="2">
        <v>0</v>
      </c>
      <c r="F4860" s="2">
        <v>1</v>
      </c>
      <c r="G4860" s="2">
        <v>1</v>
      </c>
      <c r="H4860" s="2">
        <v>1</v>
      </c>
    </row>
    <row r="4861" spans="1:8" x14ac:dyDescent="0.25">
      <c r="A4861" s="1" t="str">
        <f>"90070"</f>
        <v>90070</v>
      </c>
      <c r="B4861" s="1" t="str">
        <f>"31084"</f>
        <v>31084</v>
      </c>
      <c r="C4861" s="1" t="str">
        <f>"LOS ANGELES"</f>
        <v>LOS ANGELES</v>
      </c>
      <c r="D4861" s="1" t="str">
        <f>"CA"</f>
        <v>CA</v>
      </c>
      <c r="E4861" s="2">
        <v>1</v>
      </c>
      <c r="F4861" s="2">
        <v>1</v>
      </c>
      <c r="G4861" s="2">
        <v>1</v>
      </c>
      <c r="H4861" s="2">
        <v>1</v>
      </c>
    </row>
    <row r="4862" spans="1:8" x14ac:dyDescent="0.25">
      <c r="A4862" s="1" t="str">
        <f>"91224"</f>
        <v>91224</v>
      </c>
      <c r="B4862" s="1" t="str">
        <f>"31084"</f>
        <v>31084</v>
      </c>
      <c r="C4862" s="1" t="str">
        <f>"LA CRESCENTA"</f>
        <v>LA CRESCENTA</v>
      </c>
      <c r="D4862" s="1" t="str">
        <f>"CA"</f>
        <v>CA</v>
      </c>
      <c r="E4862" s="2">
        <v>1</v>
      </c>
      <c r="F4862" s="2">
        <v>1</v>
      </c>
      <c r="G4862" s="2">
        <v>1</v>
      </c>
      <c r="H4862" s="2">
        <v>1</v>
      </c>
    </row>
    <row r="4863" spans="1:8" x14ac:dyDescent="0.25">
      <c r="A4863" s="1" t="str">
        <f>"08858"</f>
        <v>08858</v>
      </c>
      <c r="B4863" s="1" t="str">
        <f>"35084"</f>
        <v>35084</v>
      </c>
      <c r="C4863" s="1" t="str">
        <f>"OLDWICK"</f>
        <v>OLDWICK</v>
      </c>
      <c r="D4863" s="1" t="str">
        <f>"NJ"</f>
        <v>NJ</v>
      </c>
      <c r="E4863" s="2">
        <v>1</v>
      </c>
      <c r="F4863" s="2">
        <v>1</v>
      </c>
      <c r="G4863" s="2">
        <v>1</v>
      </c>
      <c r="H4863" s="2">
        <v>1</v>
      </c>
    </row>
    <row r="4864" spans="1:8" x14ac:dyDescent="0.25">
      <c r="A4864" s="1" t="str">
        <f>"91328"</f>
        <v>91328</v>
      </c>
      <c r="B4864" s="1" t="str">
        <f>"31084"</f>
        <v>31084</v>
      </c>
      <c r="C4864" s="1" t="str">
        <f>"NORTHRIDGE"</f>
        <v>NORTHRIDGE</v>
      </c>
      <c r="D4864" s="1" t="str">
        <f>"CA"</f>
        <v>CA</v>
      </c>
      <c r="E4864" s="2">
        <v>1</v>
      </c>
      <c r="F4864" s="2">
        <v>1</v>
      </c>
      <c r="G4864" s="2">
        <v>1</v>
      </c>
      <c r="H4864" s="2">
        <v>1</v>
      </c>
    </row>
    <row r="4865" spans="1:8" x14ac:dyDescent="0.25">
      <c r="A4865" s="1" t="str">
        <f>"48816"</f>
        <v>48816</v>
      </c>
      <c r="B4865" s="1" t="str">
        <f>"47664"</f>
        <v>47664</v>
      </c>
      <c r="C4865" s="1" t="str">
        <f>"COHOCTAH"</f>
        <v>COHOCTAH</v>
      </c>
      <c r="D4865" s="1" t="str">
        <f>"MI"</f>
        <v>MI</v>
      </c>
      <c r="E4865" s="2">
        <v>1</v>
      </c>
      <c r="F4865" s="2">
        <v>1</v>
      </c>
      <c r="G4865" s="2">
        <v>0</v>
      </c>
      <c r="H4865" s="2">
        <v>1</v>
      </c>
    </row>
    <row r="4866" spans="1:8" x14ac:dyDescent="0.25">
      <c r="A4866" s="1" t="str">
        <f>"75058"</f>
        <v>75058</v>
      </c>
      <c r="B4866" s="1" t="str">
        <f>"19124"</f>
        <v>19124</v>
      </c>
      <c r="C4866" s="1" t="str">
        <f>"GUNTER"</f>
        <v>GUNTER</v>
      </c>
      <c r="D4866" s="1" t="str">
        <f>"TX"</f>
        <v>TX</v>
      </c>
      <c r="E4866" s="2">
        <v>1</v>
      </c>
      <c r="F4866" s="2">
        <v>1</v>
      </c>
      <c r="G4866" s="2">
        <v>0</v>
      </c>
      <c r="H4866" s="2">
        <v>1</v>
      </c>
    </row>
    <row r="4867" spans="1:8" x14ac:dyDescent="0.25">
      <c r="A4867" s="1" t="str">
        <f>"91786"</f>
        <v>91786</v>
      </c>
      <c r="B4867" s="1" t="str">
        <f>"31084"</f>
        <v>31084</v>
      </c>
      <c r="C4867" s="1" t="str">
        <f>"UPLAND"</f>
        <v>UPLAND</v>
      </c>
      <c r="D4867" s="1" t="str">
        <f>"CA"</f>
        <v>CA</v>
      </c>
      <c r="E4867" s="2">
        <v>1</v>
      </c>
      <c r="F4867" s="2">
        <v>1</v>
      </c>
      <c r="G4867" s="2">
        <v>1</v>
      </c>
      <c r="H4867" s="2">
        <v>1</v>
      </c>
    </row>
    <row r="4868" spans="1:8" x14ac:dyDescent="0.25">
      <c r="A4868" s="1" t="str">
        <f>"19482"</f>
        <v>19482</v>
      </c>
      <c r="B4868" s="1" t="str">
        <f>"33874"</f>
        <v>33874</v>
      </c>
      <c r="C4868" s="1" t="str">
        <f>"VALLEY FORGE"</f>
        <v>VALLEY FORGE</v>
      </c>
      <c r="D4868" s="1" t="str">
        <f>"PA"</f>
        <v>PA</v>
      </c>
      <c r="E4868" s="2">
        <v>1</v>
      </c>
      <c r="F4868" s="2">
        <v>1</v>
      </c>
      <c r="G4868" s="2">
        <v>1</v>
      </c>
      <c r="H4868" s="2">
        <v>1</v>
      </c>
    </row>
    <row r="4869" spans="1:8" x14ac:dyDescent="0.25">
      <c r="A4869" s="1" t="str">
        <f>"47995"</f>
        <v>47995</v>
      </c>
      <c r="B4869" s="1" t="str">
        <f>"23844"</f>
        <v>23844</v>
      </c>
      <c r="C4869" s="1" t="str">
        <f>"WOLCOTT"</f>
        <v>WOLCOTT</v>
      </c>
      <c r="D4869" s="1" t="str">
        <f>"IN"</f>
        <v>IN</v>
      </c>
      <c r="E4869" s="2">
        <v>1</v>
      </c>
      <c r="F4869" s="2">
        <v>0</v>
      </c>
      <c r="G4869" s="2">
        <v>0</v>
      </c>
      <c r="H4869" s="2">
        <v>1</v>
      </c>
    </row>
    <row r="4870" spans="1:8" x14ac:dyDescent="0.25">
      <c r="A4870" s="1" t="str">
        <f>"94661"</f>
        <v>94661</v>
      </c>
      <c r="B4870" s="1" t="str">
        <f>"36084"</f>
        <v>36084</v>
      </c>
      <c r="C4870" s="1" t="str">
        <f>"OAKLAND"</f>
        <v>OAKLAND</v>
      </c>
      <c r="D4870" s="1" t="str">
        <f>"CA"</f>
        <v>CA</v>
      </c>
      <c r="E4870" s="2">
        <v>1</v>
      </c>
      <c r="F4870" s="2">
        <v>1</v>
      </c>
      <c r="G4870" s="2">
        <v>1</v>
      </c>
      <c r="H4870" s="2">
        <v>1</v>
      </c>
    </row>
    <row r="4871" spans="1:8" x14ac:dyDescent="0.25">
      <c r="A4871" s="1" t="str">
        <f>"98359"</f>
        <v>98359</v>
      </c>
      <c r="B4871" s="1" t="str">
        <f>"45104"</f>
        <v>45104</v>
      </c>
      <c r="C4871" s="1" t="str">
        <f>"OLALLA"</f>
        <v>OLALLA</v>
      </c>
      <c r="D4871" s="1" t="str">
        <f>"WA"</f>
        <v>WA</v>
      </c>
      <c r="E4871" s="2">
        <v>1</v>
      </c>
      <c r="F4871" s="2">
        <v>0</v>
      </c>
      <c r="G4871" s="2">
        <v>0</v>
      </c>
      <c r="H4871" s="2">
        <v>1</v>
      </c>
    </row>
    <row r="4872" spans="1:8" x14ac:dyDescent="0.25">
      <c r="A4872" s="1" t="str">
        <f>"07978"</f>
        <v>07978</v>
      </c>
      <c r="B4872" s="1" t="str">
        <f>"35154"</f>
        <v>35154</v>
      </c>
      <c r="C4872" s="1" t="str">
        <f>"PLUCKEMIN"</f>
        <v>PLUCKEMIN</v>
      </c>
      <c r="D4872" s="1" t="str">
        <f>"NJ"</f>
        <v>NJ</v>
      </c>
      <c r="E4872" s="2">
        <v>0</v>
      </c>
      <c r="F4872" s="2">
        <v>0</v>
      </c>
      <c r="G4872" s="2">
        <v>1</v>
      </c>
      <c r="H4872" s="2">
        <v>1</v>
      </c>
    </row>
    <row r="4873" spans="1:8" x14ac:dyDescent="0.25">
      <c r="A4873" s="1" t="str">
        <f>"22646"</f>
        <v>22646</v>
      </c>
      <c r="B4873" s="1" t="str">
        <f>"47894"</f>
        <v>47894</v>
      </c>
      <c r="C4873" s="1" t="str">
        <f>"MILLWOOD"</f>
        <v>MILLWOOD</v>
      </c>
      <c r="D4873" s="1" t="str">
        <f>"VA"</f>
        <v>VA</v>
      </c>
      <c r="E4873" s="2">
        <v>0</v>
      </c>
      <c r="F4873" s="2">
        <v>1</v>
      </c>
      <c r="G4873" s="2">
        <v>0</v>
      </c>
      <c r="H4873" s="2">
        <v>1</v>
      </c>
    </row>
    <row r="4874" spans="1:8" x14ac:dyDescent="0.25">
      <c r="A4874" s="1" t="str">
        <f>"02477"</f>
        <v>02477</v>
      </c>
      <c r="B4874" s="1" t="str">
        <f>"15764"</f>
        <v>15764</v>
      </c>
      <c r="C4874" s="1" t="str">
        <f>"WATERTOWN"</f>
        <v>WATERTOWN</v>
      </c>
      <c r="D4874" s="1" t="str">
        <f>"MA"</f>
        <v>MA</v>
      </c>
      <c r="E4874" s="2">
        <v>0</v>
      </c>
      <c r="F4874" s="2">
        <v>1</v>
      </c>
      <c r="G4874" s="2">
        <v>0</v>
      </c>
      <c r="H4874" s="2">
        <v>1</v>
      </c>
    </row>
    <row r="4875" spans="1:8" x14ac:dyDescent="0.25">
      <c r="A4875" s="1" t="str">
        <f>"60701"</f>
        <v>60701</v>
      </c>
      <c r="B4875" s="1" t="str">
        <f>"16984"</f>
        <v>16984</v>
      </c>
      <c r="C4875" s="1" t="str">
        <f>"CHICAGO"</f>
        <v>CHICAGO</v>
      </c>
      <c r="D4875" s="1" t="str">
        <f>"IL"</f>
        <v>IL</v>
      </c>
      <c r="E4875" s="2">
        <v>1</v>
      </c>
      <c r="F4875" s="2">
        <v>0</v>
      </c>
      <c r="G4875" s="2">
        <v>1</v>
      </c>
      <c r="H4875" s="2">
        <v>1</v>
      </c>
    </row>
    <row r="4876" spans="1:8" x14ac:dyDescent="0.25">
      <c r="A4876" s="1" t="str">
        <f>"48198"</f>
        <v>48198</v>
      </c>
      <c r="B4876" s="1" t="str">
        <f>"19804"</f>
        <v>19804</v>
      </c>
      <c r="C4876" s="1" t="str">
        <f>"YPSILANTI"</f>
        <v>YPSILANTI</v>
      </c>
      <c r="D4876" s="1" t="str">
        <f>"MI"</f>
        <v>MI</v>
      </c>
      <c r="E4876" s="2">
        <v>1</v>
      </c>
      <c r="F4876" s="2">
        <v>1</v>
      </c>
      <c r="G4876" s="2">
        <v>0</v>
      </c>
      <c r="H4876" s="2">
        <v>1</v>
      </c>
    </row>
    <row r="4877" spans="1:8" x14ac:dyDescent="0.25">
      <c r="A4877" s="1" t="str">
        <f>"20505"</f>
        <v>20505</v>
      </c>
      <c r="B4877" s="1" t="str">
        <f>"47894"</f>
        <v>47894</v>
      </c>
      <c r="C4877" s="1" t="str">
        <f>"WASHINGTON"</f>
        <v>WASHINGTON</v>
      </c>
      <c r="D4877" s="1" t="str">
        <f>"DC"</f>
        <v>DC</v>
      </c>
      <c r="E4877" s="2">
        <v>0</v>
      </c>
      <c r="F4877" s="2">
        <v>1</v>
      </c>
      <c r="G4877" s="2">
        <v>0</v>
      </c>
      <c r="H4877" s="2">
        <v>1</v>
      </c>
    </row>
    <row r="4878" spans="1:8" x14ac:dyDescent="0.25">
      <c r="A4878" s="1" t="str">
        <f>"02349"</f>
        <v>02349</v>
      </c>
      <c r="B4878" s="1" t="str">
        <f>"14454"</f>
        <v>14454</v>
      </c>
      <c r="C4878" s="1" t="str">
        <f>"MIDDLEBORO"</f>
        <v>MIDDLEBORO</v>
      </c>
      <c r="D4878" s="1" t="str">
        <f>"MA"</f>
        <v>MA</v>
      </c>
      <c r="E4878" s="2">
        <v>0</v>
      </c>
      <c r="F4878" s="2">
        <v>1</v>
      </c>
      <c r="G4878" s="2">
        <v>0</v>
      </c>
      <c r="H4878" s="2">
        <v>1</v>
      </c>
    </row>
    <row r="4879" spans="1:8" x14ac:dyDescent="0.25">
      <c r="A4879" s="1" t="str">
        <f>"46377"</f>
        <v>46377</v>
      </c>
      <c r="B4879" s="1" t="str">
        <f>"23844"</f>
        <v>23844</v>
      </c>
      <c r="C4879" s="1" t="str">
        <f>"SHELBY"</f>
        <v>SHELBY</v>
      </c>
      <c r="D4879" s="1" t="str">
        <f>"IN"</f>
        <v>IN</v>
      </c>
      <c r="E4879" s="2">
        <v>0</v>
      </c>
      <c r="F4879" s="2">
        <v>0</v>
      </c>
      <c r="G4879" s="2">
        <v>1</v>
      </c>
      <c r="H4879" s="2">
        <v>1</v>
      </c>
    </row>
    <row r="4880" spans="1:8" x14ac:dyDescent="0.25">
      <c r="A4880" s="1" t="str">
        <f>"10081"</f>
        <v>10081</v>
      </c>
      <c r="B4880" s="1" t="str">
        <f>"35614"</f>
        <v>35614</v>
      </c>
      <c r="C4880" s="1" t="str">
        <f>"NEW YORK"</f>
        <v>NEW YORK</v>
      </c>
      <c r="D4880" s="1" t="str">
        <f>"NY"</f>
        <v>NY</v>
      </c>
      <c r="E4880" s="2">
        <v>0</v>
      </c>
      <c r="F4880" s="2">
        <v>1</v>
      </c>
      <c r="G4880" s="2">
        <v>1</v>
      </c>
      <c r="H4880" s="2">
        <v>1</v>
      </c>
    </row>
    <row r="4881" spans="1:8" x14ac:dyDescent="0.25">
      <c r="A4881" s="1" t="str">
        <f>"20217"</f>
        <v>20217</v>
      </c>
      <c r="B4881" s="1" t="str">
        <f>"47894"</f>
        <v>47894</v>
      </c>
      <c r="C4881" s="1" t="str">
        <f>"WASHINGTON"</f>
        <v>WASHINGTON</v>
      </c>
      <c r="D4881" s="1" t="str">
        <f>"DC"</f>
        <v>DC</v>
      </c>
      <c r="E4881" s="2">
        <v>0</v>
      </c>
      <c r="F4881" s="2">
        <v>1</v>
      </c>
      <c r="G4881" s="2">
        <v>0</v>
      </c>
      <c r="H4881" s="2">
        <v>1</v>
      </c>
    </row>
    <row r="4882" spans="1:8" x14ac:dyDescent="0.25">
      <c r="A4882" s="1" t="str">
        <f>"07939"</f>
        <v>07939</v>
      </c>
      <c r="B4882" s="1" t="str">
        <f>"35154"</f>
        <v>35154</v>
      </c>
      <c r="C4882" s="1" t="str">
        <f>"LYONS"</f>
        <v>LYONS</v>
      </c>
      <c r="D4882" s="1" t="str">
        <f>"NJ"</f>
        <v>NJ</v>
      </c>
      <c r="E4882" s="2">
        <v>0</v>
      </c>
      <c r="F4882" s="2">
        <v>1</v>
      </c>
      <c r="G4882" s="2">
        <v>1</v>
      </c>
      <c r="H4882" s="2">
        <v>1</v>
      </c>
    </row>
    <row r="4883" spans="1:8" x14ac:dyDescent="0.25">
      <c r="A4883" s="1" t="str">
        <f>"76197"</f>
        <v>76197</v>
      </c>
      <c r="B4883" s="1" t="str">
        <f>"23104"</f>
        <v>23104</v>
      </c>
      <c r="C4883" s="1" t="str">
        <f>"FORT WORTH"</f>
        <v>FORT WORTH</v>
      </c>
      <c r="D4883" s="1" t="str">
        <f>"TX"</f>
        <v>TX</v>
      </c>
      <c r="E4883" s="2">
        <v>0</v>
      </c>
      <c r="F4883" s="2">
        <v>1</v>
      </c>
      <c r="G4883" s="2">
        <v>0</v>
      </c>
      <c r="H4883" s="2">
        <v>1</v>
      </c>
    </row>
    <row r="4884" spans="1:8" x14ac:dyDescent="0.25">
      <c r="A4884" s="1" t="str">
        <f>"75101"</f>
        <v>75101</v>
      </c>
      <c r="B4884" s="1" t="str">
        <f>"19124"</f>
        <v>19124</v>
      </c>
      <c r="C4884" s="1" t="str">
        <f>"BARDWELL"</f>
        <v>BARDWELL</v>
      </c>
      <c r="D4884" s="1" t="str">
        <f>"TX"</f>
        <v>TX</v>
      </c>
      <c r="E4884" s="2">
        <v>0</v>
      </c>
      <c r="F4884" s="2">
        <v>0</v>
      </c>
      <c r="G4884" s="2">
        <v>1</v>
      </c>
      <c r="H4884" s="2">
        <v>1</v>
      </c>
    </row>
    <row r="4885" spans="1:8" x14ac:dyDescent="0.25">
      <c r="A4885" s="1" t="str">
        <f>"76122"</f>
        <v>76122</v>
      </c>
      <c r="B4885" s="1" t="str">
        <f>"23104"</f>
        <v>23104</v>
      </c>
      <c r="C4885" s="1" t="str">
        <f>"FORT WORTH"</f>
        <v>FORT WORTH</v>
      </c>
      <c r="D4885" s="1" t="str">
        <f>"TX"</f>
        <v>TX</v>
      </c>
      <c r="E4885" s="2">
        <v>0</v>
      </c>
      <c r="F4885" s="2">
        <v>1</v>
      </c>
      <c r="G4885" s="2">
        <v>0</v>
      </c>
      <c r="H4885" s="2">
        <v>1</v>
      </c>
    </row>
    <row r="4886" spans="1:8" x14ac:dyDescent="0.25">
      <c r="A4886" s="1" t="str">
        <f>"02059"</f>
        <v>02059</v>
      </c>
      <c r="B4886" s="1" t="str">
        <f>"14454"</f>
        <v>14454</v>
      </c>
      <c r="C4886" s="1" t="str">
        <f>"NORTH MARSHFIELD"</f>
        <v>NORTH MARSHFIELD</v>
      </c>
      <c r="D4886" s="1" t="str">
        <f>"MA"</f>
        <v>MA</v>
      </c>
      <c r="E4886" s="2">
        <v>0</v>
      </c>
      <c r="F4886" s="2">
        <v>0</v>
      </c>
      <c r="G4886" s="2">
        <v>1</v>
      </c>
      <c r="H4886" s="2">
        <v>1</v>
      </c>
    </row>
    <row r="4887" spans="1:8" x14ac:dyDescent="0.25">
      <c r="A4887" s="1" t="str">
        <f>"90084"</f>
        <v>90084</v>
      </c>
      <c r="B4887" s="1" t="str">
        <f>"31084"</f>
        <v>31084</v>
      </c>
      <c r="C4887" s="1" t="str">
        <f>"LOS ANGELES"</f>
        <v>LOS ANGELES</v>
      </c>
      <c r="D4887" s="1" t="str">
        <f>"CA"</f>
        <v>CA</v>
      </c>
      <c r="E4887" s="2">
        <v>0</v>
      </c>
      <c r="F4887" s="2">
        <v>0</v>
      </c>
      <c r="G4887" s="2">
        <v>1</v>
      </c>
      <c r="H4887" s="2">
        <v>1</v>
      </c>
    </row>
    <row r="4888" spans="1:8" x14ac:dyDescent="0.25">
      <c r="A4888" s="1" t="str">
        <f>"01721"</f>
        <v>01721</v>
      </c>
      <c r="B4888" s="1" t="str">
        <f>"15764"</f>
        <v>15764</v>
      </c>
      <c r="C4888" s="1" t="str">
        <f>"ASHLAND"</f>
        <v>ASHLAND</v>
      </c>
      <c r="D4888" s="1" t="str">
        <f t="shared" ref="D4888:D4899" si="367">"MA"</f>
        <v>MA</v>
      </c>
      <c r="E4888" s="2">
        <v>1</v>
      </c>
      <c r="F4888" s="2">
        <v>1</v>
      </c>
      <c r="G4888" s="2">
        <v>1</v>
      </c>
      <c r="H4888" s="2">
        <v>1</v>
      </c>
    </row>
    <row r="4889" spans="1:8" x14ac:dyDescent="0.25">
      <c r="A4889" s="1" t="str">
        <f>"01776"</f>
        <v>01776</v>
      </c>
      <c r="B4889" s="1" t="str">
        <f>"15764"</f>
        <v>15764</v>
      </c>
      <c r="C4889" s="1" t="str">
        <f>"SUDBURY"</f>
        <v>SUDBURY</v>
      </c>
      <c r="D4889" s="1" t="str">
        <f t="shared" si="367"/>
        <v>MA</v>
      </c>
      <c r="E4889" s="2">
        <v>1</v>
      </c>
      <c r="F4889" s="2">
        <v>1</v>
      </c>
      <c r="G4889" s="2">
        <v>1</v>
      </c>
      <c r="H4889" s="2">
        <v>1</v>
      </c>
    </row>
    <row r="4890" spans="1:8" x14ac:dyDescent="0.25">
      <c r="A4890" s="1" t="str">
        <f>"01775"</f>
        <v>01775</v>
      </c>
      <c r="B4890" s="1" t="str">
        <f>"15764"</f>
        <v>15764</v>
      </c>
      <c r="C4890" s="1" t="str">
        <f>"STOW"</f>
        <v>STOW</v>
      </c>
      <c r="D4890" s="1" t="str">
        <f t="shared" si="367"/>
        <v>MA</v>
      </c>
      <c r="E4890" s="2">
        <v>1</v>
      </c>
      <c r="F4890" s="2">
        <v>1</v>
      </c>
      <c r="G4890" s="2">
        <v>1</v>
      </c>
      <c r="H4890" s="2">
        <v>1</v>
      </c>
    </row>
    <row r="4891" spans="1:8" x14ac:dyDescent="0.25">
      <c r="A4891" s="1" t="str">
        <f>"01862"</f>
        <v>01862</v>
      </c>
      <c r="B4891" s="1" t="str">
        <f>"15764"</f>
        <v>15764</v>
      </c>
      <c r="C4891" s="1" t="str">
        <f>"NORTH BILLERICA"</f>
        <v>NORTH BILLERICA</v>
      </c>
      <c r="D4891" s="1" t="str">
        <f t="shared" si="367"/>
        <v>MA</v>
      </c>
      <c r="E4891" s="2">
        <v>1</v>
      </c>
      <c r="F4891" s="2">
        <v>1</v>
      </c>
      <c r="G4891" s="2">
        <v>1</v>
      </c>
      <c r="H4891" s="2">
        <v>1</v>
      </c>
    </row>
    <row r="4892" spans="1:8" x14ac:dyDescent="0.25">
      <c r="A4892" s="1" t="str">
        <f>"01890"</f>
        <v>01890</v>
      </c>
      <c r="B4892" s="1" t="str">
        <f>"15764"</f>
        <v>15764</v>
      </c>
      <c r="C4892" s="1" t="str">
        <f>"WINCHESTER"</f>
        <v>WINCHESTER</v>
      </c>
      <c r="D4892" s="1" t="str">
        <f t="shared" si="367"/>
        <v>MA</v>
      </c>
      <c r="E4892" s="2">
        <v>1</v>
      </c>
      <c r="F4892" s="2">
        <v>1</v>
      </c>
      <c r="G4892" s="2">
        <v>1</v>
      </c>
      <c r="H4892" s="2">
        <v>1</v>
      </c>
    </row>
    <row r="4893" spans="1:8" x14ac:dyDescent="0.25">
      <c r="A4893" s="1" t="str">
        <f>"02118"</f>
        <v>02118</v>
      </c>
      <c r="B4893" s="1" t="str">
        <f>"14454"</f>
        <v>14454</v>
      </c>
      <c r="C4893" s="1" t="str">
        <f>"BOSTON"</f>
        <v>BOSTON</v>
      </c>
      <c r="D4893" s="1" t="str">
        <f t="shared" si="367"/>
        <v>MA</v>
      </c>
      <c r="E4893" s="2">
        <v>1</v>
      </c>
      <c r="F4893" s="2">
        <v>1</v>
      </c>
      <c r="G4893" s="2">
        <v>1</v>
      </c>
      <c r="H4893" s="2">
        <v>1</v>
      </c>
    </row>
    <row r="4894" spans="1:8" x14ac:dyDescent="0.25">
      <c r="A4894" s="1" t="str">
        <f>"02176"</f>
        <v>02176</v>
      </c>
      <c r="B4894" s="1" t="str">
        <f>"15764"</f>
        <v>15764</v>
      </c>
      <c r="C4894" s="1" t="str">
        <f>"MELROSE"</f>
        <v>MELROSE</v>
      </c>
      <c r="D4894" s="1" t="str">
        <f t="shared" si="367"/>
        <v>MA</v>
      </c>
      <c r="E4894" s="2">
        <v>1</v>
      </c>
      <c r="F4894" s="2">
        <v>1</v>
      </c>
      <c r="G4894" s="2">
        <v>1</v>
      </c>
      <c r="H4894" s="2">
        <v>1</v>
      </c>
    </row>
    <row r="4895" spans="1:8" x14ac:dyDescent="0.25">
      <c r="A4895" s="1" t="str">
        <f>"02188"</f>
        <v>02188</v>
      </c>
      <c r="B4895" s="1" t="str">
        <f>"14454"</f>
        <v>14454</v>
      </c>
      <c r="C4895" s="1" t="str">
        <f>"WEYMOUTH"</f>
        <v>WEYMOUTH</v>
      </c>
      <c r="D4895" s="1" t="str">
        <f t="shared" si="367"/>
        <v>MA</v>
      </c>
      <c r="E4895" s="2">
        <v>1</v>
      </c>
      <c r="F4895" s="2">
        <v>1</v>
      </c>
      <c r="G4895" s="2">
        <v>1</v>
      </c>
      <c r="H4895" s="2">
        <v>1</v>
      </c>
    </row>
    <row r="4896" spans="1:8" x14ac:dyDescent="0.25">
      <c r="A4896" s="1" t="str">
        <f>"02445"</f>
        <v>02445</v>
      </c>
      <c r="B4896" s="1" t="str">
        <f>"14454"</f>
        <v>14454</v>
      </c>
      <c r="C4896" s="1" t="str">
        <f>"BROOKLINE"</f>
        <v>BROOKLINE</v>
      </c>
      <c r="D4896" s="1" t="str">
        <f t="shared" si="367"/>
        <v>MA</v>
      </c>
      <c r="E4896" s="2">
        <v>1</v>
      </c>
      <c r="F4896" s="2">
        <v>1</v>
      </c>
      <c r="G4896" s="2">
        <v>1</v>
      </c>
      <c r="H4896" s="2">
        <v>1</v>
      </c>
    </row>
    <row r="4897" spans="1:8" x14ac:dyDescent="0.25">
      <c r="A4897" s="1" t="str">
        <f>"02451"</f>
        <v>02451</v>
      </c>
      <c r="B4897" s="1" t="str">
        <f>"15764"</f>
        <v>15764</v>
      </c>
      <c r="C4897" s="1" t="str">
        <f>"WALTHAM"</f>
        <v>WALTHAM</v>
      </c>
      <c r="D4897" s="1" t="str">
        <f t="shared" si="367"/>
        <v>MA</v>
      </c>
      <c r="E4897" s="2">
        <v>1</v>
      </c>
      <c r="F4897" s="2">
        <v>1</v>
      </c>
      <c r="G4897" s="2">
        <v>1</v>
      </c>
      <c r="H4897" s="2">
        <v>1</v>
      </c>
    </row>
    <row r="4898" spans="1:8" x14ac:dyDescent="0.25">
      <c r="A4898" s="1" t="str">
        <f>"02478"</f>
        <v>02478</v>
      </c>
      <c r="B4898" s="1" t="str">
        <f>"15764"</f>
        <v>15764</v>
      </c>
      <c r="C4898" s="1" t="str">
        <f>"BELMONT"</f>
        <v>BELMONT</v>
      </c>
      <c r="D4898" s="1" t="str">
        <f t="shared" si="367"/>
        <v>MA</v>
      </c>
      <c r="E4898" s="2">
        <v>1</v>
      </c>
      <c r="F4898" s="2">
        <v>1</v>
      </c>
      <c r="G4898" s="2">
        <v>1</v>
      </c>
      <c r="H4898" s="2">
        <v>1</v>
      </c>
    </row>
    <row r="4899" spans="1:8" x14ac:dyDescent="0.25">
      <c r="A4899" s="1" t="str">
        <f>"02493"</f>
        <v>02493</v>
      </c>
      <c r="B4899" s="1" t="str">
        <f>"15764"</f>
        <v>15764</v>
      </c>
      <c r="C4899" s="1" t="str">
        <f>"WESTON"</f>
        <v>WESTON</v>
      </c>
      <c r="D4899" s="1" t="str">
        <f t="shared" si="367"/>
        <v>MA</v>
      </c>
      <c r="E4899" s="2">
        <v>1</v>
      </c>
      <c r="F4899" s="2">
        <v>1</v>
      </c>
      <c r="G4899" s="2">
        <v>1</v>
      </c>
      <c r="H4899" s="2">
        <v>1</v>
      </c>
    </row>
    <row r="4900" spans="1:8" x14ac:dyDescent="0.25">
      <c r="A4900" s="1" t="str">
        <f>"03037"</f>
        <v>03037</v>
      </c>
      <c r="B4900" s="1" t="str">
        <f>"40484"</f>
        <v>40484</v>
      </c>
      <c r="C4900" s="1" t="str">
        <f>"DEERFIELD"</f>
        <v>DEERFIELD</v>
      </c>
      <c r="D4900" s="1" t="str">
        <f>"NH"</f>
        <v>NH</v>
      </c>
      <c r="E4900" s="2">
        <v>1</v>
      </c>
      <c r="F4900" s="2">
        <v>1</v>
      </c>
      <c r="G4900" s="2">
        <v>1</v>
      </c>
      <c r="H4900" s="2">
        <v>1</v>
      </c>
    </row>
    <row r="4901" spans="1:8" x14ac:dyDescent="0.25">
      <c r="A4901" s="1" t="str">
        <f>"03042"</f>
        <v>03042</v>
      </c>
      <c r="B4901" s="1" t="str">
        <f>"40484"</f>
        <v>40484</v>
      </c>
      <c r="C4901" s="1" t="str">
        <f>"EPPING"</f>
        <v>EPPING</v>
      </c>
      <c r="D4901" s="1" t="str">
        <f>"NH"</f>
        <v>NH</v>
      </c>
      <c r="E4901" s="2">
        <v>1</v>
      </c>
      <c r="F4901" s="2">
        <v>1</v>
      </c>
      <c r="G4901" s="2">
        <v>1</v>
      </c>
      <c r="H4901" s="2">
        <v>1</v>
      </c>
    </row>
    <row r="4902" spans="1:8" x14ac:dyDescent="0.25">
      <c r="A4902" s="1" t="str">
        <f>"03827"</f>
        <v>03827</v>
      </c>
      <c r="B4902" s="1" t="str">
        <f>"40484"</f>
        <v>40484</v>
      </c>
      <c r="C4902" s="1" t="str">
        <f>"EAST KINGSTON"</f>
        <v>EAST KINGSTON</v>
      </c>
      <c r="D4902" s="1" t="str">
        <f>"NH"</f>
        <v>NH</v>
      </c>
      <c r="E4902" s="2">
        <v>1</v>
      </c>
      <c r="F4902" s="2">
        <v>1</v>
      </c>
      <c r="G4902" s="2">
        <v>1</v>
      </c>
      <c r="H4902" s="2">
        <v>1</v>
      </c>
    </row>
    <row r="4903" spans="1:8" x14ac:dyDescent="0.25">
      <c r="A4903" s="1" t="str">
        <f>"07083"</f>
        <v>07083</v>
      </c>
      <c r="B4903" s="1" t="str">
        <f>"35084"</f>
        <v>35084</v>
      </c>
      <c r="C4903" s="1" t="str">
        <f>"UNION"</f>
        <v>UNION</v>
      </c>
      <c r="D4903" s="1" t="str">
        <f t="shared" ref="D4903:D4909" si="368">"NJ"</f>
        <v>NJ</v>
      </c>
      <c r="E4903" s="2">
        <v>1</v>
      </c>
      <c r="F4903" s="2">
        <v>1</v>
      </c>
      <c r="G4903" s="2">
        <v>1</v>
      </c>
      <c r="H4903" s="2">
        <v>1</v>
      </c>
    </row>
    <row r="4904" spans="1:8" x14ac:dyDescent="0.25">
      <c r="A4904" s="1" t="str">
        <f>"07740"</f>
        <v>07740</v>
      </c>
      <c r="B4904" s="1" t="str">
        <f>"35154"</f>
        <v>35154</v>
      </c>
      <c r="C4904" s="1" t="str">
        <f>"LONG BRANCH"</f>
        <v>LONG BRANCH</v>
      </c>
      <c r="D4904" s="1" t="str">
        <f t="shared" si="368"/>
        <v>NJ</v>
      </c>
      <c r="E4904" s="2">
        <v>1</v>
      </c>
      <c r="F4904" s="2">
        <v>1</v>
      </c>
      <c r="G4904" s="2">
        <v>1</v>
      </c>
      <c r="H4904" s="2">
        <v>1</v>
      </c>
    </row>
    <row r="4905" spans="1:8" x14ac:dyDescent="0.25">
      <c r="A4905" s="1" t="str">
        <f>"08012"</f>
        <v>08012</v>
      </c>
      <c r="B4905" s="1" t="str">
        <f>"15804"</f>
        <v>15804</v>
      </c>
      <c r="C4905" s="1" t="str">
        <f>"BLACKWOOD"</f>
        <v>BLACKWOOD</v>
      </c>
      <c r="D4905" s="1" t="str">
        <f t="shared" si="368"/>
        <v>NJ</v>
      </c>
      <c r="E4905" s="2">
        <v>1</v>
      </c>
      <c r="F4905" s="2">
        <v>1</v>
      </c>
      <c r="G4905" s="2">
        <v>1</v>
      </c>
      <c r="H4905" s="2">
        <v>1</v>
      </c>
    </row>
    <row r="4906" spans="1:8" x14ac:dyDescent="0.25">
      <c r="A4906" s="1" t="str">
        <f>"08057"</f>
        <v>08057</v>
      </c>
      <c r="B4906" s="1" t="str">
        <f>"15804"</f>
        <v>15804</v>
      </c>
      <c r="C4906" s="1" t="str">
        <f>"MOORESTOWN"</f>
        <v>MOORESTOWN</v>
      </c>
      <c r="D4906" s="1" t="str">
        <f t="shared" si="368"/>
        <v>NJ</v>
      </c>
      <c r="E4906" s="2">
        <v>1</v>
      </c>
      <c r="F4906" s="2">
        <v>1</v>
      </c>
      <c r="G4906" s="2">
        <v>1</v>
      </c>
      <c r="H4906" s="2">
        <v>1</v>
      </c>
    </row>
    <row r="4907" spans="1:8" x14ac:dyDescent="0.25">
      <c r="A4907" s="1" t="str">
        <f>"08088"</f>
        <v>08088</v>
      </c>
      <c r="B4907" s="1" t="str">
        <f>"15804"</f>
        <v>15804</v>
      </c>
      <c r="C4907" s="1" t="str">
        <f>"VINCENTOWN"</f>
        <v>VINCENTOWN</v>
      </c>
      <c r="D4907" s="1" t="str">
        <f t="shared" si="368"/>
        <v>NJ</v>
      </c>
      <c r="E4907" s="2">
        <v>1</v>
      </c>
      <c r="F4907" s="2">
        <v>1</v>
      </c>
      <c r="G4907" s="2">
        <v>1</v>
      </c>
      <c r="H4907" s="2">
        <v>1</v>
      </c>
    </row>
    <row r="4908" spans="1:8" x14ac:dyDescent="0.25">
      <c r="A4908" s="1" t="str">
        <f>"08103"</f>
        <v>08103</v>
      </c>
      <c r="B4908" s="1" t="str">
        <f>"15804"</f>
        <v>15804</v>
      </c>
      <c r="C4908" s="1" t="str">
        <f>"CAMDEN"</f>
        <v>CAMDEN</v>
      </c>
      <c r="D4908" s="1" t="str">
        <f t="shared" si="368"/>
        <v>NJ</v>
      </c>
      <c r="E4908" s="2">
        <v>1</v>
      </c>
      <c r="F4908" s="2">
        <v>1</v>
      </c>
      <c r="G4908" s="2">
        <v>1</v>
      </c>
      <c r="H4908" s="2">
        <v>1</v>
      </c>
    </row>
    <row r="4909" spans="1:8" x14ac:dyDescent="0.25">
      <c r="A4909" s="1" t="str">
        <f>"08817"</f>
        <v>08817</v>
      </c>
      <c r="B4909" s="1" t="str">
        <f>"35154"</f>
        <v>35154</v>
      </c>
      <c r="C4909" s="1" t="str">
        <f>"EDISON"</f>
        <v>EDISON</v>
      </c>
      <c r="D4909" s="1" t="str">
        <f t="shared" si="368"/>
        <v>NJ</v>
      </c>
      <c r="E4909" s="2">
        <v>1</v>
      </c>
      <c r="F4909" s="2">
        <v>1</v>
      </c>
      <c r="G4909" s="2">
        <v>1</v>
      </c>
      <c r="H4909" s="2">
        <v>1</v>
      </c>
    </row>
    <row r="4910" spans="1:8" x14ac:dyDescent="0.25">
      <c r="A4910" s="1" t="str">
        <f>"10016"</f>
        <v>10016</v>
      </c>
      <c r="B4910" s="1" t="str">
        <f t="shared" ref="B4910:B4916" si="369">"35614"</f>
        <v>35614</v>
      </c>
      <c r="C4910" s="1" t="str">
        <f>"NEW YORK"</f>
        <v>NEW YORK</v>
      </c>
      <c r="D4910" s="1" t="str">
        <f t="shared" ref="D4910:D4923" si="370">"NY"</f>
        <v>NY</v>
      </c>
      <c r="E4910" s="2">
        <v>1</v>
      </c>
      <c r="F4910" s="2">
        <v>1</v>
      </c>
      <c r="G4910" s="2">
        <v>1</v>
      </c>
      <c r="H4910" s="2">
        <v>1</v>
      </c>
    </row>
    <row r="4911" spans="1:8" x14ac:dyDescent="0.25">
      <c r="A4911" s="1" t="str">
        <f>"10031"</f>
        <v>10031</v>
      </c>
      <c r="B4911" s="1" t="str">
        <f t="shared" si="369"/>
        <v>35614</v>
      </c>
      <c r="C4911" s="1" t="str">
        <f>"NEW YORK"</f>
        <v>NEW YORK</v>
      </c>
      <c r="D4911" s="1" t="str">
        <f t="shared" si="370"/>
        <v>NY</v>
      </c>
      <c r="E4911" s="2">
        <v>1</v>
      </c>
      <c r="F4911" s="2">
        <v>1</v>
      </c>
      <c r="G4911" s="2">
        <v>1</v>
      </c>
      <c r="H4911" s="2">
        <v>1</v>
      </c>
    </row>
    <row r="4912" spans="1:8" x14ac:dyDescent="0.25">
      <c r="A4912" s="1" t="str">
        <f>"10455"</f>
        <v>10455</v>
      </c>
      <c r="B4912" s="1" t="str">
        <f t="shared" si="369"/>
        <v>35614</v>
      </c>
      <c r="C4912" s="1" t="str">
        <f>"BRONX"</f>
        <v>BRONX</v>
      </c>
      <c r="D4912" s="1" t="str">
        <f t="shared" si="370"/>
        <v>NY</v>
      </c>
      <c r="E4912" s="2">
        <v>1</v>
      </c>
      <c r="F4912" s="2">
        <v>1</v>
      </c>
      <c r="G4912" s="2">
        <v>1</v>
      </c>
      <c r="H4912" s="2">
        <v>1</v>
      </c>
    </row>
    <row r="4913" spans="1:8" x14ac:dyDescent="0.25">
      <c r="A4913" s="1" t="str">
        <f>"11211"</f>
        <v>11211</v>
      </c>
      <c r="B4913" s="1" t="str">
        <f t="shared" si="369"/>
        <v>35614</v>
      </c>
      <c r="C4913" s="1" t="str">
        <f>"BROOKLYN"</f>
        <v>BROOKLYN</v>
      </c>
      <c r="D4913" s="1" t="str">
        <f t="shared" si="370"/>
        <v>NY</v>
      </c>
      <c r="E4913" s="2">
        <v>1</v>
      </c>
      <c r="F4913" s="2">
        <v>1</v>
      </c>
      <c r="G4913" s="2">
        <v>1</v>
      </c>
      <c r="H4913" s="2">
        <v>1</v>
      </c>
    </row>
    <row r="4914" spans="1:8" x14ac:dyDescent="0.25">
      <c r="A4914" s="1" t="str">
        <f>"11213"</f>
        <v>11213</v>
      </c>
      <c r="B4914" s="1" t="str">
        <f t="shared" si="369"/>
        <v>35614</v>
      </c>
      <c r="C4914" s="1" t="str">
        <f>"BROOKLYN"</f>
        <v>BROOKLYN</v>
      </c>
      <c r="D4914" s="1" t="str">
        <f t="shared" si="370"/>
        <v>NY</v>
      </c>
      <c r="E4914" s="2">
        <v>1</v>
      </c>
      <c r="F4914" s="2">
        <v>1</v>
      </c>
      <c r="G4914" s="2">
        <v>1</v>
      </c>
      <c r="H4914" s="2">
        <v>1</v>
      </c>
    </row>
    <row r="4915" spans="1:8" x14ac:dyDescent="0.25">
      <c r="A4915" s="1" t="str">
        <f>"11104"</f>
        <v>11104</v>
      </c>
      <c r="B4915" s="1" t="str">
        <f t="shared" si="369"/>
        <v>35614</v>
      </c>
      <c r="C4915" s="1" t="str">
        <f>"SUNNYSIDE"</f>
        <v>SUNNYSIDE</v>
      </c>
      <c r="D4915" s="1" t="str">
        <f t="shared" si="370"/>
        <v>NY</v>
      </c>
      <c r="E4915" s="2">
        <v>1</v>
      </c>
      <c r="F4915" s="2">
        <v>1</v>
      </c>
      <c r="G4915" s="2">
        <v>1</v>
      </c>
      <c r="H4915" s="2">
        <v>1</v>
      </c>
    </row>
    <row r="4916" spans="1:8" x14ac:dyDescent="0.25">
      <c r="A4916" s="1" t="str">
        <f>"11436"</f>
        <v>11436</v>
      </c>
      <c r="B4916" s="1" t="str">
        <f t="shared" si="369"/>
        <v>35614</v>
      </c>
      <c r="C4916" s="1" t="str">
        <f>"JAMAICA"</f>
        <v>JAMAICA</v>
      </c>
      <c r="D4916" s="1" t="str">
        <f t="shared" si="370"/>
        <v>NY</v>
      </c>
      <c r="E4916" s="2">
        <v>1</v>
      </c>
      <c r="F4916" s="2">
        <v>1</v>
      </c>
      <c r="G4916" s="2">
        <v>1</v>
      </c>
      <c r="H4916" s="2">
        <v>1</v>
      </c>
    </row>
    <row r="4917" spans="1:8" x14ac:dyDescent="0.25">
      <c r="A4917" s="1" t="str">
        <f>"11559"</f>
        <v>11559</v>
      </c>
      <c r="B4917" s="1" t="str">
        <f>"35004"</f>
        <v>35004</v>
      </c>
      <c r="C4917" s="1" t="str">
        <f>"LAWRENCE"</f>
        <v>LAWRENCE</v>
      </c>
      <c r="D4917" s="1" t="str">
        <f t="shared" si="370"/>
        <v>NY</v>
      </c>
      <c r="E4917" s="2">
        <v>0.99937007874015704</v>
      </c>
      <c r="F4917" s="2">
        <v>1</v>
      </c>
      <c r="G4917" s="2">
        <v>1</v>
      </c>
      <c r="H4917" s="2">
        <v>0.99951112197506697</v>
      </c>
    </row>
    <row r="4918" spans="1:8" x14ac:dyDescent="0.25">
      <c r="A4918" s="1" t="str">
        <f>"11559"</f>
        <v>11559</v>
      </c>
      <c r="B4918" s="1" t="str">
        <f>"35614"</f>
        <v>35614</v>
      </c>
      <c r="C4918" s="1" t="str">
        <f>"LAWRENCE"</f>
        <v>LAWRENCE</v>
      </c>
      <c r="D4918" s="1" t="str">
        <f t="shared" si="370"/>
        <v>NY</v>
      </c>
      <c r="E4918" s="2">
        <v>6.29921259842519E-4</v>
      </c>
      <c r="F4918" s="2">
        <v>0</v>
      </c>
      <c r="G4918" s="2">
        <v>0</v>
      </c>
      <c r="H4918" s="2">
        <v>4.8887802493277903E-4</v>
      </c>
    </row>
    <row r="4919" spans="1:8" x14ac:dyDescent="0.25">
      <c r="A4919" s="1" t="str">
        <f>"11556"</f>
        <v>11556</v>
      </c>
      <c r="B4919" s="1" t="str">
        <f>"35004"</f>
        <v>35004</v>
      </c>
      <c r="C4919" s="1" t="str">
        <f>"UNIONDALE"</f>
        <v>UNIONDALE</v>
      </c>
      <c r="D4919" s="1" t="str">
        <f t="shared" si="370"/>
        <v>NY</v>
      </c>
      <c r="E4919" s="2">
        <v>0</v>
      </c>
      <c r="F4919" s="2">
        <v>1</v>
      </c>
      <c r="G4919" s="2">
        <v>1</v>
      </c>
      <c r="H4919" s="2">
        <v>1</v>
      </c>
    </row>
    <row r="4920" spans="1:8" x14ac:dyDescent="0.25">
      <c r="A4920" s="1" t="str">
        <f>"11693"</f>
        <v>11693</v>
      </c>
      <c r="B4920" s="1" t="str">
        <f>"35614"</f>
        <v>35614</v>
      </c>
      <c r="C4920" s="1" t="str">
        <f>"FAR ROCKAWAY"</f>
        <v>FAR ROCKAWAY</v>
      </c>
      <c r="D4920" s="1" t="str">
        <f t="shared" si="370"/>
        <v>NY</v>
      </c>
      <c r="E4920" s="2">
        <v>1</v>
      </c>
      <c r="F4920" s="2">
        <v>1</v>
      </c>
      <c r="G4920" s="2">
        <v>1</v>
      </c>
      <c r="H4920" s="2">
        <v>1</v>
      </c>
    </row>
    <row r="4921" spans="1:8" x14ac:dyDescent="0.25">
      <c r="A4921" s="1" t="str">
        <f>"11790"</f>
        <v>11790</v>
      </c>
      <c r="B4921" s="1" t="str">
        <f>"35004"</f>
        <v>35004</v>
      </c>
      <c r="C4921" s="1" t="str">
        <f>"STONY BROOK"</f>
        <v>STONY BROOK</v>
      </c>
      <c r="D4921" s="1" t="str">
        <f t="shared" si="370"/>
        <v>NY</v>
      </c>
      <c r="E4921" s="2">
        <v>1</v>
      </c>
      <c r="F4921" s="2">
        <v>1</v>
      </c>
      <c r="G4921" s="2">
        <v>1</v>
      </c>
      <c r="H4921" s="2">
        <v>1</v>
      </c>
    </row>
    <row r="4922" spans="1:8" x14ac:dyDescent="0.25">
      <c r="A4922" s="1" t="str">
        <f>"10709"</f>
        <v>10709</v>
      </c>
      <c r="B4922" s="1" t="str">
        <f>"35614"</f>
        <v>35614</v>
      </c>
      <c r="C4922" s="1" t="str">
        <f>"EASTCHESTER"</f>
        <v>EASTCHESTER</v>
      </c>
      <c r="D4922" s="1" t="str">
        <f t="shared" si="370"/>
        <v>NY</v>
      </c>
      <c r="E4922" s="2">
        <v>1</v>
      </c>
      <c r="F4922" s="2">
        <v>1</v>
      </c>
      <c r="G4922" s="2">
        <v>1</v>
      </c>
      <c r="H4922" s="2">
        <v>1</v>
      </c>
    </row>
    <row r="4923" spans="1:8" x14ac:dyDescent="0.25">
      <c r="A4923" s="1" t="str">
        <f>"10913"</f>
        <v>10913</v>
      </c>
      <c r="B4923" s="1" t="str">
        <f>"35614"</f>
        <v>35614</v>
      </c>
      <c r="C4923" s="1" t="str">
        <f>"BLAUVELT"</f>
        <v>BLAUVELT</v>
      </c>
      <c r="D4923" s="1" t="str">
        <f t="shared" si="370"/>
        <v>NY</v>
      </c>
      <c r="E4923" s="2">
        <v>1</v>
      </c>
      <c r="F4923" s="2">
        <v>1</v>
      </c>
      <c r="G4923" s="2">
        <v>1</v>
      </c>
      <c r="H4923" s="2">
        <v>1</v>
      </c>
    </row>
    <row r="4924" spans="1:8" x14ac:dyDescent="0.25">
      <c r="A4924" s="1" t="str">
        <f>"18925"</f>
        <v>18925</v>
      </c>
      <c r="B4924" s="1" t="str">
        <f>"33874"</f>
        <v>33874</v>
      </c>
      <c r="C4924" s="1" t="str">
        <f>"FURLONG"</f>
        <v>FURLONG</v>
      </c>
      <c r="D4924" s="1" t="str">
        <f>"PA"</f>
        <v>PA</v>
      </c>
      <c r="E4924" s="2">
        <v>1</v>
      </c>
      <c r="F4924" s="2">
        <v>1</v>
      </c>
      <c r="G4924" s="2">
        <v>1</v>
      </c>
      <c r="H4924" s="2">
        <v>1</v>
      </c>
    </row>
    <row r="4925" spans="1:8" x14ac:dyDescent="0.25">
      <c r="A4925" s="1" t="str">
        <f>"18964"</f>
        <v>18964</v>
      </c>
      <c r="B4925" s="1" t="str">
        <f>"33874"</f>
        <v>33874</v>
      </c>
      <c r="C4925" s="1" t="str">
        <f>"SOUDERTON"</f>
        <v>SOUDERTON</v>
      </c>
      <c r="D4925" s="1" t="str">
        <f>"PA"</f>
        <v>PA</v>
      </c>
      <c r="E4925" s="2">
        <v>1</v>
      </c>
      <c r="F4925" s="2">
        <v>1</v>
      </c>
      <c r="G4925" s="2">
        <v>1</v>
      </c>
      <c r="H4925" s="2">
        <v>1</v>
      </c>
    </row>
    <row r="4926" spans="1:8" x14ac:dyDescent="0.25">
      <c r="A4926" s="1" t="str">
        <f>"19126"</f>
        <v>19126</v>
      </c>
      <c r="B4926" s="1" t="str">
        <f>"37964"</f>
        <v>37964</v>
      </c>
      <c r="C4926" s="1" t="str">
        <f>"PHILADELPHIA"</f>
        <v>PHILADELPHIA</v>
      </c>
      <c r="D4926" s="1" t="str">
        <f>"PA"</f>
        <v>PA</v>
      </c>
      <c r="E4926" s="2">
        <v>1</v>
      </c>
      <c r="F4926" s="2">
        <v>1</v>
      </c>
      <c r="G4926" s="2">
        <v>1</v>
      </c>
      <c r="H4926" s="2">
        <v>1</v>
      </c>
    </row>
    <row r="4927" spans="1:8" x14ac:dyDescent="0.25">
      <c r="A4927" s="1" t="str">
        <f>"19348"</f>
        <v>19348</v>
      </c>
      <c r="B4927" s="1" t="str">
        <f>"33874"</f>
        <v>33874</v>
      </c>
      <c r="C4927" s="1" t="str">
        <f>"KENNETT SQUARE"</f>
        <v>KENNETT SQUARE</v>
      </c>
      <c r="D4927" s="1" t="str">
        <f>"PA"</f>
        <v>PA</v>
      </c>
      <c r="E4927" s="2">
        <v>1</v>
      </c>
      <c r="F4927" s="2">
        <v>1</v>
      </c>
      <c r="G4927" s="2">
        <v>1</v>
      </c>
      <c r="H4927" s="2">
        <v>1</v>
      </c>
    </row>
    <row r="4928" spans="1:8" x14ac:dyDescent="0.25">
      <c r="A4928" s="1" t="str">
        <f>"19365"</f>
        <v>19365</v>
      </c>
      <c r="B4928" s="1" t="str">
        <f>"33874"</f>
        <v>33874</v>
      </c>
      <c r="C4928" s="1" t="str">
        <f>"PARKESBURG"</f>
        <v>PARKESBURG</v>
      </c>
      <c r="D4928" s="1" t="str">
        <f>"PA"</f>
        <v>PA</v>
      </c>
      <c r="E4928" s="2">
        <v>1</v>
      </c>
      <c r="F4928" s="2">
        <v>1</v>
      </c>
      <c r="G4928" s="2">
        <v>1</v>
      </c>
      <c r="H4928" s="2">
        <v>1</v>
      </c>
    </row>
    <row r="4929" spans="1:8" x14ac:dyDescent="0.25">
      <c r="A4929" s="1" t="str">
        <f>"19714"</f>
        <v>19714</v>
      </c>
      <c r="B4929" s="1" t="str">
        <f>"48864"</f>
        <v>48864</v>
      </c>
      <c r="C4929" s="1" t="str">
        <f>"NEWARK"</f>
        <v>NEWARK</v>
      </c>
      <c r="D4929" s="1" t="str">
        <f>"DE"</f>
        <v>DE</v>
      </c>
      <c r="E4929" s="2">
        <v>1</v>
      </c>
      <c r="F4929" s="2">
        <v>1</v>
      </c>
      <c r="G4929" s="2">
        <v>1</v>
      </c>
      <c r="H4929" s="2">
        <v>1</v>
      </c>
    </row>
    <row r="4930" spans="1:8" x14ac:dyDescent="0.25">
      <c r="A4930" s="1" t="str">
        <f>"20662"</f>
        <v>20662</v>
      </c>
      <c r="B4930" s="1" t="str">
        <f>"47894"</f>
        <v>47894</v>
      </c>
      <c r="C4930" s="1" t="str">
        <f>"NANJEMOY"</f>
        <v>NANJEMOY</v>
      </c>
      <c r="D4930" s="1" t="str">
        <f>"MD"</f>
        <v>MD</v>
      </c>
      <c r="E4930" s="2">
        <v>1</v>
      </c>
      <c r="F4930" s="2">
        <v>1</v>
      </c>
      <c r="G4930" s="2">
        <v>1</v>
      </c>
      <c r="H4930" s="2">
        <v>1</v>
      </c>
    </row>
    <row r="4931" spans="1:8" x14ac:dyDescent="0.25">
      <c r="A4931" s="1" t="str">
        <f>"20882"</f>
        <v>20882</v>
      </c>
      <c r="B4931" s="1" t="str">
        <f>"23224"</f>
        <v>23224</v>
      </c>
      <c r="C4931" s="1" t="str">
        <f>"GAITHERSBURG"</f>
        <v>GAITHERSBURG</v>
      </c>
      <c r="D4931" s="1" t="str">
        <f>"MD"</f>
        <v>MD</v>
      </c>
      <c r="E4931" s="2">
        <v>1</v>
      </c>
      <c r="F4931" s="2">
        <v>1</v>
      </c>
      <c r="G4931" s="2">
        <v>1</v>
      </c>
      <c r="H4931" s="2">
        <v>1</v>
      </c>
    </row>
    <row r="4932" spans="1:8" x14ac:dyDescent="0.25">
      <c r="A4932" s="1" t="str">
        <f>"20903"</f>
        <v>20903</v>
      </c>
      <c r="B4932" s="1" t="str">
        <f>"47894"</f>
        <v>47894</v>
      </c>
      <c r="C4932" s="1" t="str">
        <f>"SILVER SPRING"</f>
        <v>SILVER SPRING</v>
      </c>
      <c r="D4932" s="1" t="str">
        <f>"MD"</f>
        <v>MD</v>
      </c>
      <c r="E4932" s="2">
        <v>0.191471571906354</v>
      </c>
      <c r="F4932" s="2">
        <v>4.2402826855123602E-2</v>
      </c>
      <c r="G4932" s="2">
        <v>0.231496062992125</v>
      </c>
      <c r="H4932" s="2">
        <v>0.189399555226093</v>
      </c>
    </row>
    <row r="4933" spans="1:8" x14ac:dyDescent="0.25">
      <c r="A4933" s="1" t="str">
        <f>"20903"</f>
        <v>20903</v>
      </c>
      <c r="B4933" s="1" t="str">
        <f>"23224"</f>
        <v>23224</v>
      </c>
      <c r="C4933" s="1" t="str">
        <f>"SILVER SPRING"</f>
        <v>SILVER SPRING</v>
      </c>
      <c r="D4933" s="1" t="str">
        <f>"MD"</f>
        <v>MD</v>
      </c>
      <c r="E4933" s="2">
        <v>0.808528428093645</v>
      </c>
      <c r="F4933" s="2">
        <v>0.95759717314487602</v>
      </c>
      <c r="G4933" s="2">
        <v>0.76850393700787401</v>
      </c>
      <c r="H4933" s="2">
        <v>0.81060044477390603</v>
      </c>
    </row>
    <row r="4934" spans="1:8" x14ac:dyDescent="0.25">
      <c r="A4934" s="1" t="str">
        <f>"21769"</f>
        <v>21769</v>
      </c>
      <c r="B4934" s="1" t="str">
        <f>"23224"</f>
        <v>23224</v>
      </c>
      <c r="C4934" s="1" t="str">
        <f>"MIDDLETOWN"</f>
        <v>MIDDLETOWN</v>
      </c>
      <c r="D4934" s="1" t="str">
        <f>"MD"</f>
        <v>MD</v>
      </c>
      <c r="E4934" s="2">
        <v>1</v>
      </c>
      <c r="F4934" s="2">
        <v>1</v>
      </c>
      <c r="G4934" s="2">
        <v>1</v>
      </c>
      <c r="H4934" s="2">
        <v>1</v>
      </c>
    </row>
    <row r="4935" spans="1:8" x14ac:dyDescent="0.25">
      <c r="A4935" s="1" t="str">
        <f>"20171"</f>
        <v>20171</v>
      </c>
      <c r="B4935" s="1" t="str">
        <f>"47894"</f>
        <v>47894</v>
      </c>
      <c r="C4935" s="1" t="str">
        <f>"HERNDON"</f>
        <v>HERNDON</v>
      </c>
      <c r="D4935" s="1" t="str">
        <f>"VA"</f>
        <v>VA</v>
      </c>
      <c r="E4935" s="2">
        <v>1</v>
      </c>
      <c r="F4935" s="2">
        <v>1</v>
      </c>
      <c r="G4935" s="2">
        <v>1</v>
      </c>
      <c r="H4935" s="2">
        <v>1</v>
      </c>
    </row>
    <row r="4936" spans="1:8" x14ac:dyDescent="0.25">
      <c r="A4936" s="1" t="str">
        <f>"22102"</f>
        <v>22102</v>
      </c>
      <c r="B4936" s="1" t="str">
        <f>"47894"</f>
        <v>47894</v>
      </c>
      <c r="C4936" s="1" t="str">
        <f>"MC LEAN"</f>
        <v>MC LEAN</v>
      </c>
      <c r="D4936" s="1" t="str">
        <f>"VA"</f>
        <v>VA</v>
      </c>
      <c r="E4936" s="2">
        <v>1</v>
      </c>
      <c r="F4936" s="2">
        <v>1</v>
      </c>
      <c r="G4936" s="2">
        <v>1</v>
      </c>
      <c r="H4936" s="2">
        <v>1</v>
      </c>
    </row>
    <row r="4937" spans="1:8" x14ac:dyDescent="0.25">
      <c r="A4937" s="1" t="str">
        <f>"22041"</f>
        <v>22041</v>
      </c>
      <c r="B4937" s="1" t="str">
        <f>"47894"</f>
        <v>47894</v>
      </c>
      <c r="C4937" s="1" t="str">
        <f>"FALLS CHURCH"</f>
        <v>FALLS CHURCH</v>
      </c>
      <c r="D4937" s="1" t="str">
        <f>"VA"</f>
        <v>VA</v>
      </c>
      <c r="E4937" s="2">
        <v>1</v>
      </c>
      <c r="F4937" s="2">
        <v>1</v>
      </c>
      <c r="G4937" s="2">
        <v>1</v>
      </c>
      <c r="H4937" s="2">
        <v>1</v>
      </c>
    </row>
    <row r="4938" spans="1:8" x14ac:dyDescent="0.25">
      <c r="A4938" s="1" t="str">
        <f>"22405"</f>
        <v>22405</v>
      </c>
      <c r="B4938" s="1" t="str">
        <f>"47894"</f>
        <v>47894</v>
      </c>
      <c r="C4938" s="1" t="str">
        <f>"FREDERICKSBURG"</f>
        <v>FREDERICKSBURG</v>
      </c>
      <c r="D4938" s="1" t="str">
        <f>"VA"</f>
        <v>VA</v>
      </c>
      <c r="E4938" s="2">
        <v>1</v>
      </c>
      <c r="F4938" s="2">
        <v>1</v>
      </c>
      <c r="G4938" s="2">
        <v>1</v>
      </c>
      <c r="H4938" s="2">
        <v>1</v>
      </c>
    </row>
    <row r="4939" spans="1:8" x14ac:dyDescent="0.25">
      <c r="A4939" s="1" t="str">
        <f>"22749"</f>
        <v>22749</v>
      </c>
      <c r="B4939" s="1" t="str">
        <f>"47894"</f>
        <v>47894</v>
      </c>
      <c r="C4939" s="1" t="str">
        <f>"WOODVILLE"</f>
        <v>WOODVILLE</v>
      </c>
      <c r="D4939" s="1" t="str">
        <f>"VA"</f>
        <v>VA</v>
      </c>
      <c r="E4939" s="2">
        <v>1</v>
      </c>
      <c r="F4939" s="2">
        <v>1</v>
      </c>
      <c r="G4939" s="2">
        <v>0</v>
      </c>
      <c r="H4939" s="2">
        <v>1</v>
      </c>
    </row>
    <row r="4940" spans="1:8" x14ac:dyDescent="0.25">
      <c r="A4940" s="1" t="str">
        <f>"33031"</f>
        <v>33031</v>
      </c>
      <c r="B4940" s="1" t="str">
        <f>"33124"</f>
        <v>33124</v>
      </c>
      <c r="C4940" s="1" t="str">
        <f>"HOMESTEAD"</f>
        <v>HOMESTEAD</v>
      </c>
      <c r="D4940" s="1" t="str">
        <f t="shared" ref="D4940:D4945" si="371">"FL"</f>
        <v>FL</v>
      </c>
      <c r="E4940" s="2">
        <v>1</v>
      </c>
      <c r="F4940" s="2">
        <v>1</v>
      </c>
      <c r="G4940" s="2">
        <v>1</v>
      </c>
      <c r="H4940" s="2">
        <v>1</v>
      </c>
    </row>
    <row r="4941" spans="1:8" x14ac:dyDescent="0.25">
      <c r="A4941" s="1" t="str">
        <f>"33128"</f>
        <v>33128</v>
      </c>
      <c r="B4941" s="1" t="str">
        <f>"33124"</f>
        <v>33124</v>
      </c>
      <c r="C4941" s="1" t="str">
        <f>"MIAMI"</f>
        <v>MIAMI</v>
      </c>
      <c r="D4941" s="1" t="str">
        <f t="shared" si="371"/>
        <v>FL</v>
      </c>
      <c r="E4941" s="2">
        <v>1</v>
      </c>
      <c r="F4941" s="2">
        <v>1</v>
      </c>
      <c r="G4941" s="2">
        <v>1</v>
      </c>
      <c r="H4941" s="2">
        <v>1</v>
      </c>
    </row>
    <row r="4942" spans="1:8" x14ac:dyDescent="0.25">
      <c r="A4942" s="1" t="str">
        <f>"33332"</f>
        <v>33332</v>
      </c>
      <c r="B4942" s="1" t="str">
        <f>"22744"</f>
        <v>22744</v>
      </c>
      <c r="C4942" s="1" t="str">
        <f>"FORT LAUDERDALE"</f>
        <v>FORT LAUDERDALE</v>
      </c>
      <c r="D4942" s="1" t="str">
        <f t="shared" si="371"/>
        <v>FL</v>
      </c>
      <c r="E4942" s="2">
        <v>1</v>
      </c>
      <c r="F4942" s="2">
        <v>1</v>
      </c>
      <c r="G4942" s="2">
        <v>1</v>
      </c>
      <c r="H4942" s="2">
        <v>1</v>
      </c>
    </row>
    <row r="4943" spans="1:8" x14ac:dyDescent="0.25">
      <c r="A4943" s="1" t="str">
        <f>"33168"</f>
        <v>33168</v>
      </c>
      <c r="B4943" s="1" t="str">
        <f>"33124"</f>
        <v>33124</v>
      </c>
      <c r="C4943" s="1" t="str">
        <f>"MIAMI"</f>
        <v>MIAMI</v>
      </c>
      <c r="D4943" s="1" t="str">
        <f t="shared" si="371"/>
        <v>FL</v>
      </c>
      <c r="E4943" s="2">
        <v>1</v>
      </c>
      <c r="F4943" s="2">
        <v>1</v>
      </c>
      <c r="G4943" s="2">
        <v>1</v>
      </c>
      <c r="H4943" s="2">
        <v>1</v>
      </c>
    </row>
    <row r="4944" spans="1:8" x14ac:dyDescent="0.25">
      <c r="A4944" s="1" t="str">
        <f>"33458"</f>
        <v>33458</v>
      </c>
      <c r="B4944" s="1" t="str">
        <f>"48424"</f>
        <v>48424</v>
      </c>
      <c r="C4944" s="1" t="str">
        <f>"JUPITER"</f>
        <v>JUPITER</v>
      </c>
      <c r="D4944" s="1" t="str">
        <f t="shared" si="371"/>
        <v>FL</v>
      </c>
      <c r="E4944" s="2">
        <v>1</v>
      </c>
      <c r="F4944" s="2">
        <v>1</v>
      </c>
      <c r="G4944" s="2">
        <v>1</v>
      </c>
      <c r="H4944" s="2">
        <v>1</v>
      </c>
    </row>
    <row r="4945" spans="1:8" x14ac:dyDescent="0.25">
      <c r="A4945" s="1" t="str">
        <f>"33463"</f>
        <v>33463</v>
      </c>
      <c r="B4945" s="1" t="str">
        <f>"48424"</f>
        <v>48424</v>
      </c>
      <c r="C4945" s="1" t="str">
        <f>"LAKE WORTH"</f>
        <v>LAKE WORTH</v>
      </c>
      <c r="D4945" s="1" t="str">
        <f t="shared" si="371"/>
        <v>FL</v>
      </c>
      <c r="E4945" s="2">
        <v>1</v>
      </c>
      <c r="F4945" s="2">
        <v>1</v>
      </c>
      <c r="G4945" s="2">
        <v>1</v>
      </c>
      <c r="H4945" s="2">
        <v>1</v>
      </c>
    </row>
    <row r="4946" spans="1:8" x14ac:dyDescent="0.25">
      <c r="A4946" s="1" t="str">
        <f>"46347"</f>
        <v>46347</v>
      </c>
      <c r="B4946" s="1" t="str">
        <f>"23844"</f>
        <v>23844</v>
      </c>
      <c r="C4946" s="1" t="str">
        <f>"KOUTS"</f>
        <v>KOUTS</v>
      </c>
      <c r="D4946" s="1" t="str">
        <f>"IN"</f>
        <v>IN</v>
      </c>
      <c r="E4946" s="2">
        <v>1</v>
      </c>
      <c r="F4946" s="2">
        <v>1</v>
      </c>
      <c r="G4946" s="2">
        <v>1</v>
      </c>
      <c r="H4946" s="2">
        <v>1</v>
      </c>
    </row>
    <row r="4947" spans="1:8" x14ac:dyDescent="0.25">
      <c r="A4947" s="1" t="str">
        <f>"46406"</f>
        <v>46406</v>
      </c>
      <c r="B4947" s="1" t="str">
        <f>"23844"</f>
        <v>23844</v>
      </c>
      <c r="C4947" s="1" t="str">
        <f>"GARY"</f>
        <v>GARY</v>
      </c>
      <c r="D4947" s="1" t="str">
        <f>"IN"</f>
        <v>IN</v>
      </c>
      <c r="E4947" s="2">
        <v>1</v>
      </c>
      <c r="F4947" s="2">
        <v>1</v>
      </c>
      <c r="G4947" s="2">
        <v>1</v>
      </c>
      <c r="H4947" s="2">
        <v>1</v>
      </c>
    </row>
    <row r="4948" spans="1:8" x14ac:dyDescent="0.25">
      <c r="A4948" s="1" t="str">
        <f>"48017"</f>
        <v>48017</v>
      </c>
      <c r="B4948" s="1" t="str">
        <f t="shared" ref="B4948:B4953" si="372">"47664"</f>
        <v>47664</v>
      </c>
      <c r="C4948" s="1" t="str">
        <f>"CLAWSON"</f>
        <v>CLAWSON</v>
      </c>
      <c r="D4948" s="1" t="str">
        <f t="shared" ref="D4948:D4958" si="373">"MI"</f>
        <v>MI</v>
      </c>
      <c r="E4948" s="2">
        <v>1</v>
      </c>
      <c r="F4948" s="2">
        <v>1</v>
      </c>
      <c r="G4948" s="2">
        <v>1</v>
      </c>
      <c r="H4948" s="2">
        <v>1</v>
      </c>
    </row>
    <row r="4949" spans="1:8" x14ac:dyDescent="0.25">
      <c r="A4949" s="1" t="str">
        <f>"48051"</f>
        <v>48051</v>
      </c>
      <c r="B4949" s="1" t="str">
        <f t="shared" si="372"/>
        <v>47664</v>
      </c>
      <c r="C4949" s="1" t="str">
        <f>"NEW BALTIMORE"</f>
        <v>NEW BALTIMORE</v>
      </c>
      <c r="D4949" s="1" t="str">
        <f t="shared" si="373"/>
        <v>MI</v>
      </c>
      <c r="E4949" s="2">
        <v>1</v>
      </c>
      <c r="F4949" s="2">
        <v>1</v>
      </c>
      <c r="G4949" s="2">
        <v>1</v>
      </c>
      <c r="H4949" s="2">
        <v>1</v>
      </c>
    </row>
    <row r="4950" spans="1:8" x14ac:dyDescent="0.25">
      <c r="A4950" s="1" t="str">
        <f>"48045"</f>
        <v>48045</v>
      </c>
      <c r="B4950" s="1" t="str">
        <f t="shared" si="372"/>
        <v>47664</v>
      </c>
      <c r="C4950" s="1" t="str">
        <f>"HARRISON TOWNSHIP"</f>
        <v>HARRISON TOWNSHIP</v>
      </c>
      <c r="D4950" s="1" t="str">
        <f t="shared" si="373"/>
        <v>MI</v>
      </c>
      <c r="E4950" s="2">
        <v>1</v>
      </c>
      <c r="F4950" s="2">
        <v>1</v>
      </c>
      <c r="G4950" s="2">
        <v>1</v>
      </c>
      <c r="H4950" s="2">
        <v>1</v>
      </c>
    </row>
    <row r="4951" spans="1:8" x14ac:dyDescent="0.25">
      <c r="A4951" s="1" t="str">
        <f>"48079"</f>
        <v>48079</v>
      </c>
      <c r="B4951" s="1" t="str">
        <f t="shared" si="372"/>
        <v>47664</v>
      </c>
      <c r="C4951" s="1" t="str">
        <f>"SAINT CLAIR"</f>
        <v>SAINT CLAIR</v>
      </c>
      <c r="D4951" s="1" t="str">
        <f t="shared" si="373"/>
        <v>MI</v>
      </c>
      <c r="E4951" s="2">
        <v>1</v>
      </c>
      <c r="F4951" s="2">
        <v>1</v>
      </c>
      <c r="G4951" s="2">
        <v>1</v>
      </c>
      <c r="H4951" s="2">
        <v>1</v>
      </c>
    </row>
    <row r="4952" spans="1:8" x14ac:dyDescent="0.25">
      <c r="A4952" s="1" t="str">
        <f>"48374"</f>
        <v>48374</v>
      </c>
      <c r="B4952" s="1" t="str">
        <f t="shared" si="372"/>
        <v>47664</v>
      </c>
      <c r="C4952" s="1" t="str">
        <f>"NOVI"</f>
        <v>NOVI</v>
      </c>
      <c r="D4952" s="1" t="str">
        <f t="shared" si="373"/>
        <v>MI</v>
      </c>
      <c r="E4952" s="2">
        <v>1</v>
      </c>
      <c r="F4952" s="2">
        <v>1</v>
      </c>
      <c r="G4952" s="2">
        <v>1</v>
      </c>
      <c r="H4952" s="2">
        <v>1</v>
      </c>
    </row>
    <row r="4953" spans="1:8" x14ac:dyDescent="0.25">
      <c r="A4953" s="1" t="str">
        <f>"48236"</f>
        <v>48236</v>
      </c>
      <c r="B4953" s="1" t="str">
        <f t="shared" si="372"/>
        <v>47664</v>
      </c>
      <c r="C4953" s="1" t="str">
        <f>"GROSSE POINTE"</f>
        <v>GROSSE POINTE</v>
      </c>
      <c r="D4953" s="1" t="str">
        <f t="shared" si="373"/>
        <v>MI</v>
      </c>
      <c r="E4953" s="2">
        <v>4.6150465167386998E-3</v>
      </c>
      <c r="F4953" s="2">
        <v>8.6805555555555497E-4</v>
      </c>
      <c r="G4953" s="2">
        <v>0</v>
      </c>
      <c r="H4953" s="2">
        <v>4.2901193189435497E-3</v>
      </c>
    </row>
    <row r="4954" spans="1:8" x14ac:dyDescent="0.25">
      <c r="A4954" s="1" t="str">
        <f>"48236"</f>
        <v>48236</v>
      </c>
      <c r="B4954" s="1" t="str">
        <f>"19804"</f>
        <v>19804</v>
      </c>
      <c r="C4954" s="1" t="str">
        <f>"GROSSE POINTE"</f>
        <v>GROSSE POINTE</v>
      </c>
      <c r="D4954" s="1" t="str">
        <f t="shared" si="373"/>
        <v>MI</v>
      </c>
      <c r="E4954" s="2">
        <v>0.99538495348326095</v>
      </c>
      <c r="F4954" s="2">
        <v>0.99913194444444398</v>
      </c>
      <c r="G4954" s="2">
        <v>1</v>
      </c>
      <c r="H4954" s="2">
        <v>0.99570988068105604</v>
      </c>
    </row>
    <row r="4955" spans="1:8" x14ac:dyDescent="0.25">
      <c r="A4955" s="1" t="str">
        <f>"48317"</f>
        <v>48317</v>
      </c>
      <c r="B4955" s="1" t="str">
        <f>"47664"</f>
        <v>47664</v>
      </c>
      <c r="C4955" s="1" t="str">
        <f>"UTICA"</f>
        <v>UTICA</v>
      </c>
      <c r="D4955" s="1" t="str">
        <f t="shared" si="373"/>
        <v>MI</v>
      </c>
      <c r="E4955" s="2">
        <v>1</v>
      </c>
      <c r="F4955" s="2">
        <v>1</v>
      </c>
      <c r="G4955" s="2">
        <v>1</v>
      </c>
      <c r="H4955" s="2">
        <v>1</v>
      </c>
    </row>
    <row r="4956" spans="1:8" x14ac:dyDescent="0.25">
      <c r="A4956" s="1" t="str">
        <f>"48170"</f>
        <v>48170</v>
      </c>
      <c r="B4956" s="1" t="str">
        <f>"19804"</f>
        <v>19804</v>
      </c>
      <c r="C4956" s="1" t="str">
        <f>"PLYMOUTH"</f>
        <v>PLYMOUTH</v>
      </c>
      <c r="D4956" s="1" t="str">
        <f t="shared" si="373"/>
        <v>MI</v>
      </c>
      <c r="E4956" s="2">
        <v>1</v>
      </c>
      <c r="F4956" s="2">
        <v>1</v>
      </c>
      <c r="G4956" s="2">
        <v>1</v>
      </c>
      <c r="H4956" s="2">
        <v>1</v>
      </c>
    </row>
    <row r="4957" spans="1:8" x14ac:dyDescent="0.25">
      <c r="A4957" s="1" t="str">
        <f>"48223"</f>
        <v>48223</v>
      </c>
      <c r="B4957" s="1" t="str">
        <f>"19804"</f>
        <v>19804</v>
      </c>
      <c r="C4957" s="1" t="str">
        <f>"DETROIT"</f>
        <v>DETROIT</v>
      </c>
      <c r="D4957" s="1" t="str">
        <f t="shared" si="373"/>
        <v>MI</v>
      </c>
      <c r="E4957" s="2">
        <v>1</v>
      </c>
      <c r="F4957" s="2">
        <v>1</v>
      </c>
      <c r="G4957" s="2">
        <v>1</v>
      </c>
      <c r="H4957" s="2">
        <v>1</v>
      </c>
    </row>
    <row r="4958" spans="1:8" x14ac:dyDescent="0.25">
      <c r="A4958" s="1" t="str">
        <f>"48844"</f>
        <v>48844</v>
      </c>
      <c r="B4958" s="1" t="str">
        <f>"47664"</f>
        <v>47664</v>
      </c>
      <c r="C4958" s="1" t="str">
        <f>"HOWELL"</f>
        <v>HOWELL</v>
      </c>
      <c r="D4958" s="1" t="str">
        <f t="shared" si="373"/>
        <v>MI</v>
      </c>
      <c r="E4958" s="2">
        <v>1</v>
      </c>
      <c r="F4958" s="2">
        <v>1</v>
      </c>
      <c r="G4958" s="2">
        <v>1</v>
      </c>
      <c r="H4958" s="2">
        <v>1</v>
      </c>
    </row>
    <row r="4959" spans="1:8" x14ac:dyDescent="0.25">
      <c r="A4959" s="1" t="str">
        <f>"60449"</f>
        <v>60449</v>
      </c>
      <c r="B4959" s="1" t="str">
        <f>"16984"</f>
        <v>16984</v>
      </c>
      <c r="C4959" s="1" t="str">
        <f>"MONEE"</f>
        <v>MONEE</v>
      </c>
      <c r="D4959" s="1" t="str">
        <f t="shared" ref="D4959:D4973" si="374">"IL"</f>
        <v>IL</v>
      </c>
      <c r="E4959" s="2">
        <v>1</v>
      </c>
      <c r="F4959" s="2">
        <v>1</v>
      </c>
      <c r="G4959" s="2">
        <v>1</v>
      </c>
      <c r="H4959" s="2">
        <v>1</v>
      </c>
    </row>
    <row r="4960" spans="1:8" x14ac:dyDescent="0.25">
      <c r="A4960" s="1" t="str">
        <f>"60422"</f>
        <v>60422</v>
      </c>
      <c r="B4960" s="1" t="str">
        <f>"16984"</f>
        <v>16984</v>
      </c>
      <c r="C4960" s="1" t="str">
        <f>"FLOSSMOOR"</f>
        <v>FLOSSMOOR</v>
      </c>
      <c r="D4960" s="1" t="str">
        <f t="shared" si="374"/>
        <v>IL</v>
      </c>
      <c r="E4960" s="2">
        <v>1</v>
      </c>
      <c r="F4960" s="2">
        <v>1</v>
      </c>
      <c r="G4960" s="2">
        <v>1</v>
      </c>
      <c r="H4960" s="2">
        <v>1</v>
      </c>
    </row>
    <row r="4961" spans="1:8" x14ac:dyDescent="0.25">
      <c r="A4961" s="1" t="str">
        <f>"60424"</f>
        <v>60424</v>
      </c>
      <c r="B4961" s="1" t="str">
        <f>"16984"</f>
        <v>16984</v>
      </c>
      <c r="C4961" s="1" t="str">
        <f>"GARDNER"</f>
        <v>GARDNER</v>
      </c>
      <c r="D4961" s="1" t="str">
        <f t="shared" si="374"/>
        <v>IL</v>
      </c>
      <c r="E4961" s="2">
        <v>1</v>
      </c>
      <c r="F4961" s="2">
        <v>1</v>
      </c>
      <c r="G4961" s="2">
        <v>1</v>
      </c>
      <c r="H4961" s="2">
        <v>1</v>
      </c>
    </row>
    <row r="4962" spans="1:8" x14ac:dyDescent="0.25">
      <c r="A4962" s="1" t="str">
        <f>"60544"</f>
        <v>60544</v>
      </c>
      <c r="B4962" s="1" t="str">
        <f>"20994"</f>
        <v>20994</v>
      </c>
      <c r="C4962" s="1" t="str">
        <f>"PLAINFIELD"</f>
        <v>PLAINFIELD</v>
      </c>
      <c r="D4962" s="1" t="str">
        <f t="shared" si="374"/>
        <v>IL</v>
      </c>
      <c r="E4962" s="2">
        <v>2.3346565296373498E-2</v>
      </c>
      <c r="F4962" s="2">
        <v>2.8935185185185101E-3</v>
      </c>
      <c r="G4962" s="2">
        <v>3.40136054421768E-3</v>
      </c>
      <c r="H4962" s="2">
        <v>2.0317060607794798E-2</v>
      </c>
    </row>
    <row r="4963" spans="1:8" x14ac:dyDescent="0.25">
      <c r="A4963" s="1" t="str">
        <f>"60544"</f>
        <v>60544</v>
      </c>
      <c r="B4963" s="1" t="str">
        <f>"16984"</f>
        <v>16984</v>
      </c>
      <c r="C4963" s="1" t="str">
        <f>"PLAINFIELD"</f>
        <v>PLAINFIELD</v>
      </c>
      <c r="D4963" s="1" t="str">
        <f t="shared" si="374"/>
        <v>IL</v>
      </c>
      <c r="E4963" s="2">
        <v>0.97665343470362598</v>
      </c>
      <c r="F4963" s="2">
        <v>0.99710648148148096</v>
      </c>
      <c r="G4963" s="2">
        <v>0.99659863945578198</v>
      </c>
      <c r="H4963" s="2">
        <v>0.97968293939220497</v>
      </c>
    </row>
    <row r="4964" spans="1:8" x14ac:dyDescent="0.25">
      <c r="A4964" s="1" t="str">
        <f>"60025"</f>
        <v>60025</v>
      </c>
      <c r="B4964" s="1" t="str">
        <f>"16984"</f>
        <v>16984</v>
      </c>
      <c r="C4964" s="1" t="str">
        <f>"GLENVIEW"</f>
        <v>GLENVIEW</v>
      </c>
      <c r="D4964" s="1" t="str">
        <f t="shared" si="374"/>
        <v>IL</v>
      </c>
      <c r="E4964" s="2">
        <v>1</v>
      </c>
      <c r="F4964" s="2">
        <v>1</v>
      </c>
      <c r="G4964" s="2">
        <v>1</v>
      </c>
      <c r="H4964" s="2">
        <v>1</v>
      </c>
    </row>
    <row r="4965" spans="1:8" x14ac:dyDescent="0.25">
      <c r="A4965" s="1" t="str">
        <f>"60040"</f>
        <v>60040</v>
      </c>
      <c r="B4965" s="1" t="str">
        <f>"29404"</f>
        <v>29404</v>
      </c>
      <c r="C4965" s="1" t="str">
        <f>"HIGHWOOD"</f>
        <v>HIGHWOOD</v>
      </c>
      <c r="D4965" s="1" t="str">
        <f t="shared" si="374"/>
        <v>IL</v>
      </c>
      <c r="E4965" s="2">
        <v>1</v>
      </c>
      <c r="F4965" s="2">
        <v>1</v>
      </c>
      <c r="G4965" s="2">
        <v>1</v>
      </c>
      <c r="H4965" s="2">
        <v>1</v>
      </c>
    </row>
    <row r="4966" spans="1:8" x14ac:dyDescent="0.25">
      <c r="A4966" s="1" t="str">
        <f>"60093"</f>
        <v>60093</v>
      </c>
      <c r="B4966" s="1" t="str">
        <f>"16984"</f>
        <v>16984</v>
      </c>
      <c r="C4966" s="1" t="str">
        <f>"WINNETKA"</f>
        <v>WINNETKA</v>
      </c>
      <c r="D4966" s="1" t="str">
        <f t="shared" si="374"/>
        <v>IL</v>
      </c>
      <c r="E4966" s="2">
        <v>1</v>
      </c>
      <c r="F4966" s="2">
        <v>1</v>
      </c>
      <c r="G4966" s="2">
        <v>1</v>
      </c>
      <c r="H4966" s="2">
        <v>1</v>
      </c>
    </row>
    <row r="4967" spans="1:8" x14ac:dyDescent="0.25">
      <c r="A4967" s="1" t="str">
        <f>"60102"</f>
        <v>60102</v>
      </c>
      <c r="B4967" s="1" t="str">
        <f>"16984"</f>
        <v>16984</v>
      </c>
      <c r="C4967" s="1" t="str">
        <f>"ALGONQUIN"</f>
        <v>ALGONQUIN</v>
      </c>
      <c r="D4967" s="1" t="str">
        <f t="shared" si="374"/>
        <v>IL</v>
      </c>
      <c r="E4967" s="2">
        <v>0.76069449575175396</v>
      </c>
      <c r="F4967" s="2">
        <v>0.83584229390680997</v>
      </c>
      <c r="G4967" s="2">
        <v>0.85887096774193505</v>
      </c>
      <c r="H4967" s="2">
        <v>0.769205428910264</v>
      </c>
    </row>
    <row r="4968" spans="1:8" x14ac:dyDescent="0.25">
      <c r="A4968" s="1" t="str">
        <f>"60102"</f>
        <v>60102</v>
      </c>
      <c r="B4968" s="1" t="str">
        <f>"20994"</f>
        <v>20994</v>
      </c>
      <c r="C4968" s="1" t="str">
        <f>"ALGONQUIN"</f>
        <v>ALGONQUIN</v>
      </c>
      <c r="D4968" s="1" t="str">
        <f t="shared" si="374"/>
        <v>IL</v>
      </c>
      <c r="E4968" s="2">
        <v>0.23930550424824501</v>
      </c>
      <c r="F4968" s="2">
        <v>0.164157706093189</v>
      </c>
      <c r="G4968" s="2">
        <v>0.141129032258064</v>
      </c>
      <c r="H4968" s="2">
        <v>0.230794571089735</v>
      </c>
    </row>
    <row r="4969" spans="1:8" x14ac:dyDescent="0.25">
      <c r="A4969" s="1" t="str">
        <f>"60185"</f>
        <v>60185</v>
      </c>
      <c r="B4969" s="1" t="str">
        <f>"20994"</f>
        <v>20994</v>
      </c>
      <c r="C4969" s="1" t="str">
        <f>"WEST CHICAGO"</f>
        <v>WEST CHICAGO</v>
      </c>
      <c r="D4969" s="1" t="str">
        <f t="shared" si="374"/>
        <v>IL</v>
      </c>
      <c r="E4969" s="2">
        <v>4.8162682839814402E-3</v>
      </c>
      <c r="F4969" s="2">
        <v>3.8015463917525701E-2</v>
      </c>
      <c r="G4969" s="2">
        <v>1.35658914728682E-2</v>
      </c>
      <c r="H4969" s="2">
        <v>9.0361445783132491E-3</v>
      </c>
    </row>
    <row r="4970" spans="1:8" x14ac:dyDescent="0.25">
      <c r="A4970" s="1" t="str">
        <f>"60185"</f>
        <v>60185</v>
      </c>
      <c r="B4970" s="1" t="str">
        <f>"16984"</f>
        <v>16984</v>
      </c>
      <c r="C4970" s="1" t="str">
        <f>"WEST CHICAGO"</f>
        <v>WEST CHICAGO</v>
      </c>
      <c r="D4970" s="1" t="str">
        <f t="shared" si="374"/>
        <v>IL</v>
      </c>
      <c r="E4970" s="2">
        <v>0.99518373171601804</v>
      </c>
      <c r="F4970" s="2">
        <v>0.96198453608247403</v>
      </c>
      <c r="G4970" s="2">
        <v>0.98643410852713098</v>
      </c>
      <c r="H4970" s="2">
        <v>0.99096385542168597</v>
      </c>
    </row>
    <row r="4971" spans="1:8" x14ac:dyDescent="0.25">
      <c r="A4971" s="1" t="str">
        <f>"60195"</f>
        <v>60195</v>
      </c>
      <c r="B4971" s="1" t="str">
        <f>"16984"</f>
        <v>16984</v>
      </c>
      <c r="C4971" s="1" t="str">
        <f>"SCHAUMBURG"</f>
        <v>SCHAUMBURG</v>
      </c>
      <c r="D4971" s="1" t="str">
        <f t="shared" si="374"/>
        <v>IL</v>
      </c>
      <c r="E4971" s="2">
        <v>1</v>
      </c>
      <c r="F4971" s="2">
        <v>1</v>
      </c>
      <c r="G4971" s="2">
        <v>1</v>
      </c>
      <c r="H4971" s="2">
        <v>1</v>
      </c>
    </row>
    <row r="4972" spans="1:8" x14ac:dyDescent="0.25">
      <c r="A4972" s="1" t="str">
        <f>"60157"</f>
        <v>60157</v>
      </c>
      <c r="B4972" s="1" t="str">
        <f>"16984"</f>
        <v>16984</v>
      </c>
      <c r="C4972" s="1" t="str">
        <f>"MEDINAH"</f>
        <v>MEDINAH</v>
      </c>
      <c r="D4972" s="1" t="str">
        <f t="shared" si="374"/>
        <v>IL</v>
      </c>
      <c r="E4972" s="2">
        <v>1</v>
      </c>
      <c r="F4972" s="2">
        <v>1</v>
      </c>
      <c r="G4972" s="2">
        <v>1</v>
      </c>
      <c r="H4972" s="2">
        <v>1</v>
      </c>
    </row>
    <row r="4973" spans="1:8" x14ac:dyDescent="0.25">
      <c r="A4973" s="1" t="str">
        <f>"60639"</f>
        <v>60639</v>
      </c>
      <c r="B4973" s="1" t="str">
        <f>"16984"</f>
        <v>16984</v>
      </c>
      <c r="C4973" s="1" t="str">
        <f>"CHICAGO"</f>
        <v>CHICAGO</v>
      </c>
      <c r="D4973" s="1" t="str">
        <f t="shared" si="374"/>
        <v>IL</v>
      </c>
      <c r="E4973" s="2">
        <v>1</v>
      </c>
      <c r="F4973" s="2">
        <v>1</v>
      </c>
      <c r="G4973" s="2">
        <v>1</v>
      </c>
      <c r="H4973" s="2">
        <v>1</v>
      </c>
    </row>
    <row r="4974" spans="1:8" x14ac:dyDescent="0.25">
      <c r="A4974" s="1" t="str">
        <f>"75039"</f>
        <v>75039</v>
      </c>
      <c r="B4974" s="1" t="str">
        <f t="shared" ref="B4974:B4979" si="375">"19124"</f>
        <v>19124</v>
      </c>
      <c r="C4974" s="1" t="str">
        <f>"IRVING"</f>
        <v>IRVING</v>
      </c>
      <c r="D4974" s="1" t="str">
        <f t="shared" ref="D4974:D4981" si="376">"TX"</f>
        <v>TX</v>
      </c>
      <c r="E4974" s="2">
        <v>1</v>
      </c>
      <c r="F4974" s="2">
        <v>1</v>
      </c>
      <c r="G4974" s="2">
        <v>1</v>
      </c>
      <c r="H4974" s="2">
        <v>1</v>
      </c>
    </row>
    <row r="4975" spans="1:8" x14ac:dyDescent="0.25">
      <c r="A4975" s="1" t="str">
        <f>"75056"</f>
        <v>75056</v>
      </c>
      <c r="B4975" s="1" t="str">
        <f t="shared" si="375"/>
        <v>19124</v>
      </c>
      <c r="C4975" s="1" t="str">
        <f>"THE COLONY"</f>
        <v>THE COLONY</v>
      </c>
      <c r="D4975" s="1" t="str">
        <f t="shared" si="376"/>
        <v>TX</v>
      </c>
      <c r="E4975" s="2">
        <v>1</v>
      </c>
      <c r="F4975" s="2">
        <v>1</v>
      </c>
      <c r="G4975" s="2">
        <v>1</v>
      </c>
      <c r="H4975" s="2">
        <v>1</v>
      </c>
    </row>
    <row r="4976" spans="1:8" x14ac:dyDescent="0.25">
      <c r="A4976" s="1" t="str">
        <f>"75355"</f>
        <v>75355</v>
      </c>
      <c r="B4976" s="1" t="str">
        <f t="shared" si="375"/>
        <v>19124</v>
      </c>
      <c r="C4976" s="1" t="str">
        <f>"DALLAS"</f>
        <v>DALLAS</v>
      </c>
      <c r="D4976" s="1" t="str">
        <f t="shared" si="376"/>
        <v>TX</v>
      </c>
      <c r="E4976" s="2">
        <v>1</v>
      </c>
      <c r="F4976" s="2">
        <v>1</v>
      </c>
      <c r="G4976" s="2">
        <v>1</v>
      </c>
      <c r="H4976" s="2">
        <v>1</v>
      </c>
    </row>
    <row r="4977" spans="1:8" x14ac:dyDescent="0.25">
      <c r="A4977" s="1" t="str">
        <f>"75135"</f>
        <v>75135</v>
      </c>
      <c r="B4977" s="1" t="str">
        <f t="shared" si="375"/>
        <v>19124</v>
      </c>
      <c r="C4977" s="1" t="str">
        <f>"CADDO MILLS"</f>
        <v>CADDO MILLS</v>
      </c>
      <c r="D4977" s="1" t="str">
        <f t="shared" si="376"/>
        <v>TX</v>
      </c>
      <c r="E4977" s="2">
        <v>1</v>
      </c>
      <c r="F4977" s="2">
        <v>1</v>
      </c>
      <c r="G4977" s="2">
        <v>1</v>
      </c>
      <c r="H4977" s="2">
        <v>1</v>
      </c>
    </row>
    <row r="4978" spans="1:8" x14ac:dyDescent="0.25">
      <c r="A4978" s="1" t="str">
        <f>"75069"</f>
        <v>75069</v>
      </c>
      <c r="B4978" s="1" t="str">
        <f t="shared" si="375"/>
        <v>19124</v>
      </c>
      <c r="C4978" s="1" t="str">
        <f>"MCKINNEY"</f>
        <v>MCKINNEY</v>
      </c>
      <c r="D4978" s="1" t="str">
        <f t="shared" si="376"/>
        <v>TX</v>
      </c>
      <c r="E4978" s="2">
        <v>1</v>
      </c>
      <c r="F4978" s="2">
        <v>1</v>
      </c>
      <c r="G4978" s="2">
        <v>1</v>
      </c>
      <c r="H4978" s="2">
        <v>1</v>
      </c>
    </row>
    <row r="4979" spans="1:8" x14ac:dyDescent="0.25">
      <c r="A4979" s="1" t="str">
        <f>"75402"</f>
        <v>75402</v>
      </c>
      <c r="B4979" s="1" t="str">
        <f t="shared" si="375"/>
        <v>19124</v>
      </c>
      <c r="C4979" s="1" t="str">
        <f>"GREENVILLE"</f>
        <v>GREENVILLE</v>
      </c>
      <c r="D4979" s="1" t="str">
        <f t="shared" si="376"/>
        <v>TX</v>
      </c>
      <c r="E4979" s="2">
        <v>1</v>
      </c>
      <c r="F4979" s="2">
        <v>1</v>
      </c>
      <c r="G4979" s="2">
        <v>1</v>
      </c>
      <c r="H4979" s="2">
        <v>1</v>
      </c>
    </row>
    <row r="4980" spans="1:8" x14ac:dyDescent="0.25">
      <c r="A4980" s="1" t="str">
        <f>"76028"</f>
        <v>76028</v>
      </c>
      <c r="B4980" s="1" t="str">
        <f>"23104"</f>
        <v>23104</v>
      </c>
      <c r="C4980" s="1" t="str">
        <f>"BURLESON"</f>
        <v>BURLESON</v>
      </c>
      <c r="D4980" s="1" t="str">
        <f t="shared" si="376"/>
        <v>TX</v>
      </c>
      <c r="E4980" s="2">
        <v>1</v>
      </c>
      <c r="F4980" s="2">
        <v>1</v>
      </c>
      <c r="G4980" s="2">
        <v>1</v>
      </c>
      <c r="H4980" s="2">
        <v>1</v>
      </c>
    </row>
    <row r="4981" spans="1:8" x14ac:dyDescent="0.25">
      <c r="A4981" s="1" t="str">
        <f>"76044"</f>
        <v>76044</v>
      </c>
      <c r="B4981" s="1" t="str">
        <f>"23104"</f>
        <v>23104</v>
      </c>
      <c r="C4981" s="1" t="str">
        <f>"GODLEY"</f>
        <v>GODLEY</v>
      </c>
      <c r="D4981" s="1" t="str">
        <f t="shared" si="376"/>
        <v>TX</v>
      </c>
      <c r="E4981" s="2">
        <v>1</v>
      </c>
      <c r="F4981" s="2">
        <v>1</v>
      </c>
      <c r="G4981" s="2">
        <v>1</v>
      </c>
      <c r="H4981" s="2">
        <v>1</v>
      </c>
    </row>
    <row r="4982" spans="1:8" x14ac:dyDescent="0.25">
      <c r="A4982" s="1" t="str">
        <f>"90242"</f>
        <v>90242</v>
      </c>
      <c r="B4982" s="1" t="str">
        <f t="shared" ref="B4982:B4989" si="377">"31084"</f>
        <v>31084</v>
      </c>
      <c r="C4982" s="1" t="str">
        <f>"DOWNEY"</f>
        <v>DOWNEY</v>
      </c>
      <c r="D4982" s="1" t="str">
        <f t="shared" ref="D4982:D4998" si="378">"CA"</f>
        <v>CA</v>
      </c>
      <c r="E4982" s="2">
        <v>1</v>
      </c>
      <c r="F4982" s="2">
        <v>1</v>
      </c>
      <c r="G4982" s="2">
        <v>1</v>
      </c>
      <c r="H4982" s="2">
        <v>1</v>
      </c>
    </row>
    <row r="4983" spans="1:8" x14ac:dyDescent="0.25">
      <c r="A4983" s="1" t="str">
        <f>"90017"</f>
        <v>90017</v>
      </c>
      <c r="B4983" s="1" t="str">
        <f t="shared" si="377"/>
        <v>31084</v>
      </c>
      <c r="C4983" s="1" t="str">
        <f>"LOS ANGELES"</f>
        <v>LOS ANGELES</v>
      </c>
      <c r="D4983" s="1" t="str">
        <f t="shared" si="378"/>
        <v>CA</v>
      </c>
      <c r="E4983" s="2">
        <v>1</v>
      </c>
      <c r="F4983" s="2">
        <v>1</v>
      </c>
      <c r="G4983" s="2">
        <v>1</v>
      </c>
      <c r="H4983" s="2">
        <v>1</v>
      </c>
    </row>
    <row r="4984" spans="1:8" x14ac:dyDescent="0.25">
      <c r="A4984" s="1" t="str">
        <f>"90064"</f>
        <v>90064</v>
      </c>
      <c r="B4984" s="1" t="str">
        <f t="shared" si="377"/>
        <v>31084</v>
      </c>
      <c r="C4984" s="1" t="str">
        <f>"LOS ANGELES"</f>
        <v>LOS ANGELES</v>
      </c>
      <c r="D4984" s="1" t="str">
        <f t="shared" si="378"/>
        <v>CA</v>
      </c>
      <c r="E4984" s="2">
        <v>1</v>
      </c>
      <c r="F4984" s="2">
        <v>1</v>
      </c>
      <c r="G4984" s="2">
        <v>1</v>
      </c>
      <c r="H4984" s="2">
        <v>1</v>
      </c>
    </row>
    <row r="4985" spans="1:8" x14ac:dyDescent="0.25">
      <c r="A4985" s="1" t="str">
        <f>"91304"</f>
        <v>91304</v>
      </c>
      <c r="B4985" s="1" t="str">
        <f t="shared" si="377"/>
        <v>31084</v>
      </c>
      <c r="C4985" s="1" t="str">
        <f>"CANOGA PARK"</f>
        <v>CANOGA PARK</v>
      </c>
      <c r="D4985" s="1" t="str">
        <f t="shared" si="378"/>
        <v>CA</v>
      </c>
      <c r="E4985" s="2">
        <v>1</v>
      </c>
      <c r="F4985" s="2">
        <v>1</v>
      </c>
      <c r="G4985" s="2">
        <v>1</v>
      </c>
      <c r="H4985" s="2">
        <v>1</v>
      </c>
    </row>
    <row r="4986" spans="1:8" x14ac:dyDescent="0.25">
      <c r="A4986" s="1" t="str">
        <f>"90510"</f>
        <v>90510</v>
      </c>
      <c r="B4986" s="1" t="str">
        <f t="shared" si="377"/>
        <v>31084</v>
      </c>
      <c r="C4986" s="1" t="str">
        <f>"TORRANCE"</f>
        <v>TORRANCE</v>
      </c>
      <c r="D4986" s="1" t="str">
        <f t="shared" si="378"/>
        <v>CA</v>
      </c>
      <c r="E4986" s="2">
        <v>1</v>
      </c>
      <c r="F4986" s="2">
        <v>1</v>
      </c>
      <c r="G4986" s="2">
        <v>1</v>
      </c>
      <c r="H4986" s="2">
        <v>1</v>
      </c>
    </row>
    <row r="4987" spans="1:8" x14ac:dyDescent="0.25">
      <c r="A4987" s="1" t="str">
        <f>"91436"</f>
        <v>91436</v>
      </c>
      <c r="B4987" s="1" t="str">
        <f t="shared" si="377"/>
        <v>31084</v>
      </c>
      <c r="C4987" s="1" t="str">
        <f>"ENCINO"</f>
        <v>ENCINO</v>
      </c>
      <c r="D4987" s="1" t="str">
        <f t="shared" si="378"/>
        <v>CA</v>
      </c>
      <c r="E4987" s="2">
        <v>1</v>
      </c>
      <c r="F4987" s="2">
        <v>1</v>
      </c>
      <c r="G4987" s="2">
        <v>1</v>
      </c>
      <c r="H4987" s="2">
        <v>1</v>
      </c>
    </row>
    <row r="4988" spans="1:8" x14ac:dyDescent="0.25">
      <c r="A4988" s="1" t="str">
        <f>"91601"</f>
        <v>91601</v>
      </c>
      <c r="B4988" s="1" t="str">
        <f t="shared" si="377"/>
        <v>31084</v>
      </c>
      <c r="C4988" s="1" t="str">
        <f>"NORTH HOLLYWOOD"</f>
        <v>NORTH HOLLYWOOD</v>
      </c>
      <c r="D4988" s="1" t="str">
        <f t="shared" si="378"/>
        <v>CA</v>
      </c>
      <c r="E4988" s="2">
        <v>1</v>
      </c>
      <c r="F4988" s="2">
        <v>1</v>
      </c>
      <c r="G4988" s="2">
        <v>1</v>
      </c>
      <c r="H4988" s="2">
        <v>1</v>
      </c>
    </row>
    <row r="4989" spans="1:8" x14ac:dyDescent="0.25">
      <c r="A4989" s="1" t="str">
        <f>"91506"</f>
        <v>91506</v>
      </c>
      <c r="B4989" s="1" t="str">
        <f t="shared" si="377"/>
        <v>31084</v>
      </c>
      <c r="C4989" s="1" t="str">
        <f>"BURBANK"</f>
        <v>BURBANK</v>
      </c>
      <c r="D4989" s="1" t="str">
        <f t="shared" si="378"/>
        <v>CA</v>
      </c>
      <c r="E4989" s="2">
        <v>1</v>
      </c>
      <c r="F4989" s="2">
        <v>1</v>
      </c>
      <c r="G4989" s="2">
        <v>1</v>
      </c>
      <c r="H4989" s="2">
        <v>1</v>
      </c>
    </row>
    <row r="4990" spans="1:8" x14ac:dyDescent="0.25">
      <c r="A4990" s="1" t="str">
        <f>"94063"</f>
        <v>94063</v>
      </c>
      <c r="B4990" s="1" t="str">
        <f>"41884"</f>
        <v>41884</v>
      </c>
      <c r="C4990" s="1" t="str">
        <f>"REDWOOD CITY"</f>
        <v>REDWOOD CITY</v>
      </c>
      <c r="D4990" s="1" t="str">
        <f t="shared" si="378"/>
        <v>CA</v>
      </c>
      <c r="E4990" s="2">
        <v>1</v>
      </c>
      <c r="F4990" s="2">
        <v>1</v>
      </c>
      <c r="G4990" s="2">
        <v>1</v>
      </c>
      <c r="H4990" s="2">
        <v>1</v>
      </c>
    </row>
    <row r="4991" spans="1:8" x14ac:dyDescent="0.25">
      <c r="A4991" s="1" t="str">
        <f>"92865"</f>
        <v>92865</v>
      </c>
      <c r="B4991" s="1" t="str">
        <f>"11244"</f>
        <v>11244</v>
      </c>
      <c r="C4991" s="1" t="str">
        <f>"ORANGE"</f>
        <v>ORANGE</v>
      </c>
      <c r="D4991" s="1" t="str">
        <f t="shared" si="378"/>
        <v>CA</v>
      </c>
      <c r="E4991" s="2">
        <v>1</v>
      </c>
      <c r="F4991" s="2">
        <v>1</v>
      </c>
      <c r="G4991" s="2">
        <v>1</v>
      </c>
      <c r="H4991" s="2">
        <v>1</v>
      </c>
    </row>
    <row r="4992" spans="1:8" x14ac:dyDescent="0.25">
      <c r="A4992" s="1" t="str">
        <f>"94115"</f>
        <v>94115</v>
      </c>
      <c r="B4992" s="1" t="str">
        <f>"41884"</f>
        <v>41884</v>
      </c>
      <c r="C4992" s="1" t="str">
        <f>"SAN FRANCISCO"</f>
        <v>SAN FRANCISCO</v>
      </c>
      <c r="D4992" s="1" t="str">
        <f t="shared" si="378"/>
        <v>CA</v>
      </c>
      <c r="E4992" s="2">
        <v>1</v>
      </c>
      <c r="F4992" s="2">
        <v>1</v>
      </c>
      <c r="G4992" s="2">
        <v>1</v>
      </c>
      <c r="H4992" s="2">
        <v>1</v>
      </c>
    </row>
    <row r="4993" spans="1:8" x14ac:dyDescent="0.25">
      <c r="A4993" s="1" t="str">
        <f>"94523"</f>
        <v>94523</v>
      </c>
      <c r="B4993" s="1" t="str">
        <f>"36084"</f>
        <v>36084</v>
      </c>
      <c r="C4993" s="1" t="str">
        <f>"PLEASANT HILL"</f>
        <v>PLEASANT HILL</v>
      </c>
      <c r="D4993" s="1" t="str">
        <f t="shared" si="378"/>
        <v>CA</v>
      </c>
      <c r="E4993" s="2">
        <v>1</v>
      </c>
      <c r="F4993" s="2">
        <v>1</v>
      </c>
      <c r="G4993" s="2">
        <v>1</v>
      </c>
      <c r="H4993" s="2">
        <v>1</v>
      </c>
    </row>
    <row r="4994" spans="1:8" x14ac:dyDescent="0.25">
      <c r="A4994" s="1" t="str">
        <f>"94132"</f>
        <v>94132</v>
      </c>
      <c r="B4994" s="1" t="str">
        <f>"41884"</f>
        <v>41884</v>
      </c>
      <c r="C4994" s="1" t="str">
        <f>"SAN FRANCISCO"</f>
        <v>SAN FRANCISCO</v>
      </c>
      <c r="D4994" s="1" t="str">
        <f t="shared" si="378"/>
        <v>CA</v>
      </c>
      <c r="E4994" s="2">
        <v>1</v>
      </c>
      <c r="F4994" s="2">
        <v>1</v>
      </c>
      <c r="G4994" s="2">
        <v>1</v>
      </c>
      <c r="H4994" s="2">
        <v>1</v>
      </c>
    </row>
    <row r="4995" spans="1:8" x14ac:dyDescent="0.25">
      <c r="A4995" s="1" t="str">
        <f>"94947"</f>
        <v>94947</v>
      </c>
      <c r="B4995" s="1" t="str">
        <f>"42034"</f>
        <v>42034</v>
      </c>
      <c r="C4995" s="1" t="str">
        <f>"NOVATO"</f>
        <v>NOVATO</v>
      </c>
      <c r="D4995" s="1" t="str">
        <f t="shared" si="378"/>
        <v>CA</v>
      </c>
      <c r="E4995" s="2">
        <v>1</v>
      </c>
      <c r="F4995" s="2">
        <v>1</v>
      </c>
      <c r="G4995" s="2">
        <v>1</v>
      </c>
      <c r="H4995" s="2">
        <v>1</v>
      </c>
    </row>
    <row r="4996" spans="1:8" x14ac:dyDescent="0.25">
      <c r="A4996" s="1" t="str">
        <f>"94501"</f>
        <v>94501</v>
      </c>
      <c r="B4996" s="1" t="str">
        <f>"36084"</f>
        <v>36084</v>
      </c>
      <c r="C4996" s="1" t="str">
        <f>"ALAMEDA"</f>
        <v>ALAMEDA</v>
      </c>
      <c r="D4996" s="1" t="str">
        <f t="shared" si="378"/>
        <v>CA</v>
      </c>
      <c r="E4996" s="2">
        <v>1</v>
      </c>
      <c r="F4996" s="2">
        <v>1</v>
      </c>
      <c r="G4996" s="2">
        <v>1</v>
      </c>
      <c r="H4996" s="2">
        <v>1</v>
      </c>
    </row>
    <row r="4997" spans="1:8" x14ac:dyDescent="0.25">
      <c r="A4997" s="1" t="str">
        <f>"94553"</f>
        <v>94553</v>
      </c>
      <c r="B4997" s="1" t="str">
        <f>"36084"</f>
        <v>36084</v>
      </c>
      <c r="C4997" s="1" t="str">
        <f>"MARTINEZ"</f>
        <v>MARTINEZ</v>
      </c>
      <c r="D4997" s="1" t="str">
        <f t="shared" si="378"/>
        <v>CA</v>
      </c>
      <c r="E4997" s="2">
        <v>1</v>
      </c>
      <c r="F4997" s="2">
        <v>1</v>
      </c>
      <c r="G4997" s="2">
        <v>1</v>
      </c>
      <c r="H4997" s="2">
        <v>1</v>
      </c>
    </row>
    <row r="4998" spans="1:8" x14ac:dyDescent="0.25">
      <c r="A4998" s="1" t="str">
        <f>"94582"</f>
        <v>94582</v>
      </c>
      <c r="B4998" s="1" t="str">
        <f>"36084"</f>
        <v>36084</v>
      </c>
      <c r="C4998" s="1" t="str">
        <f>"SAN RAMON"</f>
        <v>SAN RAMON</v>
      </c>
      <c r="D4998" s="1" t="str">
        <f t="shared" si="378"/>
        <v>CA</v>
      </c>
      <c r="E4998" s="2">
        <v>1</v>
      </c>
      <c r="F4998" s="2">
        <v>1</v>
      </c>
      <c r="G4998" s="2">
        <v>1</v>
      </c>
      <c r="H4998" s="2">
        <v>1</v>
      </c>
    </row>
    <row r="4999" spans="1:8" x14ac:dyDescent="0.25">
      <c r="A4999" s="1" t="str">
        <f>"98034"</f>
        <v>98034</v>
      </c>
      <c r="B4999" s="1" t="str">
        <f>"42644"</f>
        <v>42644</v>
      </c>
      <c r="C4999" s="1" t="str">
        <f>"KIRKLAND"</f>
        <v>KIRKLAND</v>
      </c>
      <c r="D4999" s="1" t="str">
        <f>"WA"</f>
        <v>WA</v>
      </c>
      <c r="E4999" s="2">
        <v>1</v>
      </c>
      <c r="F4999" s="2">
        <v>1</v>
      </c>
      <c r="G4999" s="2">
        <v>1</v>
      </c>
      <c r="H4999" s="2">
        <v>1</v>
      </c>
    </row>
    <row r="5000" spans="1:8" x14ac:dyDescent="0.25">
      <c r="A5000" s="1" t="str">
        <f>"98055"</f>
        <v>98055</v>
      </c>
      <c r="B5000" s="1" t="str">
        <f>"42644"</f>
        <v>42644</v>
      </c>
      <c r="C5000" s="1" t="str">
        <f>"RENTON"</f>
        <v>RENTON</v>
      </c>
      <c r="D5000" s="1" t="str">
        <f>"WA"</f>
        <v>WA</v>
      </c>
      <c r="E5000" s="2">
        <v>1</v>
      </c>
      <c r="F5000" s="2">
        <v>1</v>
      </c>
      <c r="G5000" s="2">
        <v>1</v>
      </c>
      <c r="H5000" s="2">
        <v>1</v>
      </c>
    </row>
    <row r="5001" spans="1:8" x14ac:dyDescent="0.25">
      <c r="A5001" s="1" t="str">
        <f>"98374"</f>
        <v>98374</v>
      </c>
      <c r="B5001" s="1" t="str">
        <f>"45104"</f>
        <v>45104</v>
      </c>
      <c r="C5001" s="1" t="str">
        <f>"PUYALLUP"</f>
        <v>PUYALLUP</v>
      </c>
      <c r="D5001" s="1" t="str">
        <f>"WA"</f>
        <v>WA</v>
      </c>
      <c r="E5001" s="2">
        <v>1</v>
      </c>
      <c r="F5001" s="2">
        <v>1</v>
      </c>
      <c r="G5001" s="2">
        <v>1</v>
      </c>
      <c r="H5001" s="2">
        <v>1</v>
      </c>
    </row>
    <row r="5002" spans="1:8" x14ac:dyDescent="0.25">
      <c r="A5002" s="1" t="str">
        <f>"98323"</f>
        <v>98323</v>
      </c>
      <c r="B5002" s="1" t="str">
        <f>"45104"</f>
        <v>45104</v>
      </c>
      <c r="C5002" s="1" t="str">
        <f>"CARBONADO"</f>
        <v>CARBONADO</v>
      </c>
      <c r="D5002" s="1" t="str">
        <f>"WA"</f>
        <v>WA</v>
      </c>
      <c r="E5002" s="2">
        <v>1</v>
      </c>
      <c r="F5002" s="2">
        <v>1</v>
      </c>
      <c r="G5002" s="2">
        <v>1</v>
      </c>
      <c r="H5002" s="2">
        <v>1</v>
      </c>
    </row>
    <row r="5003" spans="1:8" x14ac:dyDescent="0.25">
      <c r="A5003" s="1" t="str">
        <f>"98294"</f>
        <v>98294</v>
      </c>
      <c r="B5003" s="1" t="str">
        <f>"42644"</f>
        <v>42644</v>
      </c>
      <c r="C5003" s="1" t="str">
        <f>"SULTAN"</f>
        <v>SULTAN</v>
      </c>
      <c r="D5003" s="1" t="str">
        <f>"WA"</f>
        <v>WA</v>
      </c>
      <c r="E5003" s="2">
        <v>1</v>
      </c>
      <c r="F5003" s="2">
        <v>1</v>
      </c>
      <c r="G5003" s="2">
        <v>1</v>
      </c>
      <c r="H5003" s="2">
        <v>1</v>
      </c>
    </row>
    <row r="5004" spans="1:8" x14ac:dyDescent="0.25">
      <c r="A5004" s="1" t="str">
        <f>"01474"</f>
        <v>01474</v>
      </c>
      <c r="B5004" s="1" t="str">
        <f>"15764"</f>
        <v>15764</v>
      </c>
      <c r="C5004" s="1" t="str">
        <f>"WEST TOWNSEND"</f>
        <v>WEST TOWNSEND</v>
      </c>
      <c r="D5004" s="1" t="str">
        <f>"MA"</f>
        <v>MA</v>
      </c>
      <c r="E5004" s="2">
        <v>1</v>
      </c>
      <c r="F5004" s="2">
        <v>1</v>
      </c>
      <c r="G5004" s="2">
        <v>1</v>
      </c>
      <c r="H5004" s="2">
        <v>1</v>
      </c>
    </row>
    <row r="5005" spans="1:8" x14ac:dyDescent="0.25">
      <c r="A5005" s="1" t="str">
        <f>"07028"</f>
        <v>07028</v>
      </c>
      <c r="B5005" s="1" t="str">
        <f>"35084"</f>
        <v>35084</v>
      </c>
      <c r="C5005" s="1" t="str">
        <f>"GLEN RIDGE"</f>
        <v>GLEN RIDGE</v>
      </c>
      <c r="D5005" s="1" t="str">
        <f>"NJ"</f>
        <v>NJ</v>
      </c>
      <c r="E5005" s="2">
        <v>1</v>
      </c>
      <c r="F5005" s="2">
        <v>1</v>
      </c>
      <c r="G5005" s="2">
        <v>1</v>
      </c>
      <c r="H5005" s="2">
        <v>1</v>
      </c>
    </row>
    <row r="5006" spans="1:8" x14ac:dyDescent="0.25">
      <c r="A5006" s="1" t="str">
        <f>"08515"</f>
        <v>08515</v>
      </c>
      <c r="B5006" s="1" t="str">
        <f>"15804"</f>
        <v>15804</v>
      </c>
      <c r="C5006" s="1" t="str">
        <f>"CHESTERFIELD"</f>
        <v>CHESTERFIELD</v>
      </c>
      <c r="D5006" s="1" t="str">
        <f>"NJ"</f>
        <v>NJ</v>
      </c>
      <c r="E5006" s="2">
        <v>1</v>
      </c>
      <c r="F5006" s="2">
        <v>1</v>
      </c>
      <c r="G5006" s="2">
        <v>1</v>
      </c>
      <c r="H5006" s="2">
        <v>1</v>
      </c>
    </row>
    <row r="5007" spans="1:8" x14ac:dyDescent="0.25">
      <c r="A5007" s="1" t="str">
        <f>"33153"</f>
        <v>33153</v>
      </c>
      <c r="B5007" s="1" t="str">
        <f>"33124"</f>
        <v>33124</v>
      </c>
      <c r="C5007" s="1" t="str">
        <f>"MIAMI"</f>
        <v>MIAMI</v>
      </c>
      <c r="D5007" s="1" t="str">
        <f>"FL"</f>
        <v>FL</v>
      </c>
      <c r="E5007" s="2">
        <v>1</v>
      </c>
      <c r="F5007" s="2">
        <v>1</v>
      </c>
      <c r="G5007" s="2">
        <v>1</v>
      </c>
      <c r="H5007" s="2">
        <v>1</v>
      </c>
    </row>
    <row r="5008" spans="1:8" x14ac:dyDescent="0.25">
      <c r="A5008" s="1" t="str">
        <f>"48464"</f>
        <v>48464</v>
      </c>
      <c r="B5008" s="1" t="str">
        <f>"47664"</f>
        <v>47664</v>
      </c>
      <c r="C5008" s="1" t="str">
        <f>"OTTER LAKE"</f>
        <v>OTTER LAKE</v>
      </c>
      <c r="D5008" s="1" t="str">
        <f>"MI"</f>
        <v>MI</v>
      </c>
      <c r="E5008" s="2">
        <v>1</v>
      </c>
      <c r="F5008" s="2">
        <v>1</v>
      </c>
      <c r="G5008" s="2">
        <v>1</v>
      </c>
      <c r="H5008" s="2">
        <v>1</v>
      </c>
    </row>
    <row r="5009" spans="1:8" x14ac:dyDescent="0.25">
      <c r="A5009" s="1" t="str">
        <f>"48727"</f>
        <v>48727</v>
      </c>
      <c r="B5009" s="1" t="str">
        <f>"47664"</f>
        <v>47664</v>
      </c>
      <c r="C5009" s="1" t="str">
        <f>"CLIFFORD"</f>
        <v>CLIFFORD</v>
      </c>
      <c r="D5009" s="1" t="str">
        <f>"MI"</f>
        <v>MI</v>
      </c>
      <c r="E5009" s="2">
        <v>1</v>
      </c>
      <c r="F5009" s="2">
        <v>1</v>
      </c>
      <c r="G5009" s="2">
        <v>0</v>
      </c>
      <c r="H5009" s="2">
        <v>1</v>
      </c>
    </row>
    <row r="5010" spans="1:8" x14ac:dyDescent="0.25">
      <c r="A5010" s="1" t="str">
        <f>"90055"</f>
        <v>90055</v>
      </c>
      <c r="B5010" s="1" t="str">
        <f>"31084"</f>
        <v>31084</v>
      </c>
      <c r="C5010" s="1" t="str">
        <f>"LOS ANGELES"</f>
        <v>LOS ANGELES</v>
      </c>
      <c r="D5010" s="1" t="str">
        <f>"CA"</f>
        <v>CA</v>
      </c>
      <c r="E5010" s="2">
        <v>1</v>
      </c>
      <c r="F5010" s="2">
        <v>1</v>
      </c>
      <c r="G5010" s="2">
        <v>1</v>
      </c>
      <c r="H5010" s="2">
        <v>1</v>
      </c>
    </row>
    <row r="5011" spans="1:8" x14ac:dyDescent="0.25">
      <c r="A5011" s="1" t="str">
        <f>"91385"</f>
        <v>91385</v>
      </c>
      <c r="B5011" s="1" t="str">
        <f>"31084"</f>
        <v>31084</v>
      </c>
      <c r="C5011" s="1" t="str">
        <f>"VALENCIA"</f>
        <v>VALENCIA</v>
      </c>
      <c r="D5011" s="1" t="str">
        <f>"CA"</f>
        <v>CA</v>
      </c>
      <c r="E5011" s="2">
        <v>1</v>
      </c>
      <c r="F5011" s="2">
        <v>1</v>
      </c>
      <c r="G5011" s="2">
        <v>1</v>
      </c>
      <c r="H5011" s="2">
        <v>1</v>
      </c>
    </row>
    <row r="5012" spans="1:8" x14ac:dyDescent="0.25">
      <c r="A5012" s="1" t="str">
        <f>"92728"</f>
        <v>92728</v>
      </c>
      <c r="B5012" s="1" t="str">
        <f>"11244"</f>
        <v>11244</v>
      </c>
      <c r="C5012" s="1" t="str">
        <f>"FOUNTAIN VALLEY"</f>
        <v>FOUNTAIN VALLEY</v>
      </c>
      <c r="D5012" s="1" t="str">
        <f>"CA"</f>
        <v>CA</v>
      </c>
      <c r="E5012" s="2">
        <v>1</v>
      </c>
      <c r="F5012" s="2">
        <v>1</v>
      </c>
      <c r="G5012" s="2">
        <v>1</v>
      </c>
      <c r="H5012" s="2">
        <v>1</v>
      </c>
    </row>
    <row r="5013" spans="1:8" x14ac:dyDescent="0.25">
      <c r="A5013" s="1" t="str">
        <f>"98419"</f>
        <v>98419</v>
      </c>
      <c r="B5013" s="1" t="str">
        <f>"45104"</f>
        <v>45104</v>
      </c>
      <c r="C5013" s="1" t="str">
        <f>"TACOMA"</f>
        <v>TACOMA</v>
      </c>
      <c r="D5013" s="1" t="str">
        <f>"WA"</f>
        <v>WA</v>
      </c>
      <c r="E5013" s="2">
        <v>1</v>
      </c>
      <c r="F5013" s="2">
        <v>1</v>
      </c>
      <c r="G5013" s="2">
        <v>1</v>
      </c>
      <c r="H5013" s="2">
        <v>1</v>
      </c>
    </row>
    <row r="5014" spans="1:8" x14ac:dyDescent="0.25">
      <c r="A5014" s="1" t="str">
        <f>"11977"</f>
        <v>11977</v>
      </c>
      <c r="B5014" s="1" t="str">
        <f>"35004"</f>
        <v>35004</v>
      </c>
      <c r="C5014" s="1" t="str">
        <f>"WESTHAMPTON"</f>
        <v>WESTHAMPTON</v>
      </c>
      <c r="D5014" s="1" t="str">
        <f>"NY"</f>
        <v>NY</v>
      </c>
      <c r="E5014" s="2">
        <v>1</v>
      </c>
      <c r="F5014" s="2">
        <v>1</v>
      </c>
      <c r="G5014" s="2">
        <v>1</v>
      </c>
      <c r="H5014" s="2">
        <v>1</v>
      </c>
    </row>
    <row r="5015" spans="1:8" x14ac:dyDescent="0.25">
      <c r="A5015" s="1" t="str">
        <f>"22195"</f>
        <v>22195</v>
      </c>
      <c r="B5015" s="1" t="str">
        <f>"47894"</f>
        <v>47894</v>
      </c>
      <c r="C5015" s="1" t="str">
        <f>"WOODBRIDGE"</f>
        <v>WOODBRIDGE</v>
      </c>
      <c r="D5015" s="1" t="str">
        <f>"VA"</f>
        <v>VA</v>
      </c>
      <c r="E5015" s="2">
        <v>1</v>
      </c>
      <c r="F5015" s="2">
        <v>1</v>
      </c>
      <c r="G5015" s="2">
        <v>1</v>
      </c>
      <c r="H5015" s="2">
        <v>1</v>
      </c>
    </row>
    <row r="5016" spans="1:8" x14ac:dyDescent="0.25">
      <c r="A5016" s="1" t="str">
        <f>"92834"</f>
        <v>92834</v>
      </c>
      <c r="B5016" s="1" t="str">
        <f>"11244"</f>
        <v>11244</v>
      </c>
      <c r="C5016" s="1" t="str">
        <f>"FULLERTON"</f>
        <v>FULLERTON</v>
      </c>
      <c r="D5016" s="1" t="str">
        <f>"CA"</f>
        <v>CA</v>
      </c>
      <c r="E5016" s="2">
        <v>1</v>
      </c>
      <c r="F5016" s="2">
        <v>1</v>
      </c>
      <c r="G5016" s="2">
        <v>1</v>
      </c>
      <c r="H5016" s="2">
        <v>1</v>
      </c>
    </row>
    <row r="5017" spans="1:8" x14ac:dyDescent="0.25">
      <c r="A5017" s="1" t="str">
        <f>"98154"</f>
        <v>98154</v>
      </c>
      <c r="B5017" s="1" t="str">
        <f>"42644"</f>
        <v>42644</v>
      </c>
      <c r="C5017" s="1" t="str">
        <f>"SEATTLE"</f>
        <v>SEATTLE</v>
      </c>
      <c r="D5017" s="1" t="str">
        <f>"WA"</f>
        <v>WA</v>
      </c>
      <c r="E5017" s="2">
        <v>0</v>
      </c>
      <c r="F5017" s="2">
        <v>1</v>
      </c>
      <c r="G5017" s="2">
        <v>1</v>
      </c>
      <c r="H5017" s="2">
        <v>1</v>
      </c>
    </row>
    <row r="5018" spans="1:8" x14ac:dyDescent="0.25">
      <c r="A5018" s="1" t="str">
        <f>"01936"</f>
        <v>01936</v>
      </c>
      <c r="B5018" s="1" t="str">
        <f>"15764"</f>
        <v>15764</v>
      </c>
      <c r="C5018" s="1" t="str">
        <f>"HAMILTON"</f>
        <v>HAMILTON</v>
      </c>
      <c r="D5018" s="1" t="str">
        <f>"MA"</f>
        <v>MA</v>
      </c>
      <c r="E5018" s="2">
        <v>1</v>
      </c>
      <c r="F5018" s="2">
        <v>1</v>
      </c>
      <c r="G5018" s="2">
        <v>1</v>
      </c>
      <c r="H5018" s="2">
        <v>1</v>
      </c>
    </row>
    <row r="5019" spans="1:8" x14ac:dyDescent="0.25">
      <c r="A5019" s="1" t="str">
        <f>"07963"</f>
        <v>07963</v>
      </c>
      <c r="B5019" s="1" t="str">
        <f>"35084"</f>
        <v>35084</v>
      </c>
      <c r="C5019" s="1" t="str">
        <f>"MORRISTOWN"</f>
        <v>MORRISTOWN</v>
      </c>
      <c r="D5019" s="1" t="str">
        <f>"NJ"</f>
        <v>NJ</v>
      </c>
      <c r="E5019" s="2">
        <v>1</v>
      </c>
      <c r="F5019" s="2">
        <v>1</v>
      </c>
      <c r="G5019" s="2">
        <v>1</v>
      </c>
      <c r="H5019" s="2">
        <v>1</v>
      </c>
    </row>
    <row r="5020" spans="1:8" x14ac:dyDescent="0.25">
      <c r="A5020" s="1" t="str">
        <f>"10274"</f>
        <v>10274</v>
      </c>
      <c r="B5020" s="1" t="str">
        <f>"35614"</f>
        <v>35614</v>
      </c>
      <c r="C5020" s="1" t="str">
        <f>"NEW YORK"</f>
        <v>NEW YORK</v>
      </c>
      <c r="D5020" s="1" t="str">
        <f>"NY"</f>
        <v>NY</v>
      </c>
      <c r="E5020" s="2">
        <v>1</v>
      </c>
      <c r="F5020" s="2">
        <v>1</v>
      </c>
      <c r="G5020" s="2">
        <v>1</v>
      </c>
      <c r="H5020" s="2">
        <v>1</v>
      </c>
    </row>
    <row r="5021" spans="1:8" x14ac:dyDescent="0.25">
      <c r="A5021" s="1" t="str">
        <f>"76130"</f>
        <v>76130</v>
      </c>
      <c r="B5021" s="1" t="str">
        <f>"23104"</f>
        <v>23104</v>
      </c>
      <c r="C5021" s="1" t="str">
        <f>"FORT WORTH"</f>
        <v>FORT WORTH</v>
      </c>
      <c r="D5021" s="1" t="str">
        <f>"TX"</f>
        <v>TX</v>
      </c>
      <c r="E5021" s="2">
        <v>0</v>
      </c>
      <c r="F5021" s="2">
        <v>1</v>
      </c>
      <c r="G5021" s="2">
        <v>1</v>
      </c>
      <c r="H5021" s="2">
        <v>1</v>
      </c>
    </row>
    <row r="5022" spans="1:8" x14ac:dyDescent="0.25">
      <c r="A5022" s="1" t="str">
        <f>"90074"</f>
        <v>90074</v>
      </c>
      <c r="B5022" s="1" t="str">
        <f>"31084"</f>
        <v>31084</v>
      </c>
      <c r="C5022" s="1" t="str">
        <f>"LOS ANGELES"</f>
        <v>LOS ANGELES</v>
      </c>
      <c r="D5022" s="1" t="str">
        <f>"CA"</f>
        <v>CA</v>
      </c>
      <c r="E5022" s="2">
        <v>0</v>
      </c>
      <c r="F5022" s="2">
        <v>0</v>
      </c>
      <c r="G5022" s="2">
        <v>1</v>
      </c>
      <c r="H5022" s="2">
        <v>1</v>
      </c>
    </row>
    <row r="5023" spans="1:8" x14ac:dyDescent="0.25">
      <c r="A5023" s="1" t="str">
        <f>"90224"</f>
        <v>90224</v>
      </c>
      <c r="B5023" s="1" t="str">
        <f>"31084"</f>
        <v>31084</v>
      </c>
      <c r="C5023" s="1" t="str">
        <f>"COMPTON"</f>
        <v>COMPTON</v>
      </c>
      <c r="D5023" s="1" t="str">
        <f>"CA"</f>
        <v>CA</v>
      </c>
      <c r="E5023" s="2">
        <v>1</v>
      </c>
      <c r="F5023" s="2">
        <v>1</v>
      </c>
      <c r="G5023" s="2">
        <v>1</v>
      </c>
      <c r="H5023" s="2">
        <v>1</v>
      </c>
    </row>
    <row r="5024" spans="1:8" x14ac:dyDescent="0.25">
      <c r="A5024" s="1" t="str">
        <f>"94624"</f>
        <v>94624</v>
      </c>
      <c r="B5024" s="1" t="str">
        <f>"36084"</f>
        <v>36084</v>
      </c>
      <c r="C5024" s="1" t="str">
        <f>"OAKLAND"</f>
        <v>OAKLAND</v>
      </c>
      <c r="D5024" s="1" t="str">
        <f>"CA"</f>
        <v>CA</v>
      </c>
      <c r="E5024" s="2">
        <v>1</v>
      </c>
      <c r="F5024" s="2">
        <v>1</v>
      </c>
      <c r="G5024" s="2">
        <v>1</v>
      </c>
      <c r="H5024" s="2">
        <v>1</v>
      </c>
    </row>
    <row r="5025" spans="1:8" x14ac:dyDescent="0.25">
      <c r="A5025" s="1" t="str">
        <f>"01718"</f>
        <v>01718</v>
      </c>
      <c r="B5025" s="1" t="str">
        <f>"15764"</f>
        <v>15764</v>
      </c>
      <c r="C5025" s="1" t="str">
        <f>"ACTON"</f>
        <v>ACTON</v>
      </c>
      <c r="D5025" s="1" t="str">
        <f>"MA"</f>
        <v>MA</v>
      </c>
      <c r="E5025" s="2">
        <v>1</v>
      </c>
      <c r="F5025" s="2">
        <v>0</v>
      </c>
      <c r="G5025" s="2">
        <v>0</v>
      </c>
      <c r="H5025" s="2">
        <v>1</v>
      </c>
    </row>
    <row r="5026" spans="1:8" x14ac:dyDescent="0.25">
      <c r="A5026" s="1" t="str">
        <f>"21714"</f>
        <v>21714</v>
      </c>
      <c r="B5026" s="1" t="str">
        <f>"23224"</f>
        <v>23224</v>
      </c>
      <c r="C5026" s="1" t="str">
        <f>"BRADDOCK HEIGHTS"</f>
        <v>BRADDOCK HEIGHTS</v>
      </c>
      <c r="D5026" s="1" t="str">
        <f>"MD"</f>
        <v>MD</v>
      </c>
      <c r="E5026" s="2">
        <v>1</v>
      </c>
      <c r="F5026" s="2">
        <v>1</v>
      </c>
      <c r="G5026" s="2">
        <v>1</v>
      </c>
      <c r="H5026" s="2">
        <v>1</v>
      </c>
    </row>
    <row r="5027" spans="1:8" x14ac:dyDescent="0.25">
      <c r="A5027" s="1" t="str">
        <f>"10151"</f>
        <v>10151</v>
      </c>
      <c r="B5027" s="1" t="str">
        <f>"35614"</f>
        <v>35614</v>
      </c>
      <c r="C5027" s="1" t="str">
        <f>"NEW YORK"</f>
        <v>NEW YORK</v>
      </c>
      <c r="D5027" s="1" t="str">
        <f>"NY"</f>
        <v>NY</v>
      </c>
      <c r="E5027" s="2">
        <v>0</v>
      </c>
      <c r="F5027" s="2">
        <v>1</v>
      </c>
      <c r="G5027" s="2">
        <v>1</v>
      </c>
      <c r="H5027" s="2">
        <v>1</v>
      </c>
    </row>
    <row r="5028" spans="1:8" x14ac:dyDescent="0.25">
      <c r="A5028" s="1" t="str">
        <f>"20035"</f>
        <v>20035</v>
      </c>
      <c r="B5028" s="1" t="str">
        <f>"47894"</f>
        <v>47894</v>
      </c>
      <c r="C5028" s="1" t="str">
        <f>"WASHINGTON"</f>
        <v>WASHINGTON</v>
      </c>
      <c r="D5028" s="1" t="str">
        <f>"DC"</f>
        <v>DC</v>
      </c>
      <c r="E5028" s="2">
        <v>1</v>
      </c>
      <c r="F5028" s="2">
        <v>1</v>
      </c>
      <c r="G5028" s="2">
        <v>1</v>
      </c>
      <c r="H5028" s="2">
        <v>1</v>
      </c>
    </row>
    <row r="5029" spans="1:8" x14ac:dyDescent="0.25">
      <c r="A5029" s="1" t="str">
        <f>"75433"</f>
        <v>75433</v>
      </c>
      <c r="B5029" s="1" t="str">
        <f>"19124"</f>
        <v>19124</v>
      </c>
      <c r="C5029" s="1" t="str">
        <f>"CUMBY"</f>
        <v>CUMBY</v>
      </c>
      <c r="D5029" s="1" t="str">
        <f>"TX"</f>
        <v>TX</v>
      </c>
      <c r="E5029" s="2">
        <v>1</v>
      </c>
      <c r="F5029" s="2">
        <v>1</v>
      </c>
      <c r="G5029" s="2">
        <v>0</v>
      </c>
      <c r="H5029" s="2">
        <v>1</v>
      </c>
    </row>
    <row r="5030" spans="1:8" x14ac:dyDescent="0.25">
      <c r="A5030" s="1" t="str">
        <f>"20525"</f>
        <v>20525</v>
      </c>
      <c r="B5030" s="1" t="str">
        <f>"47894"</f>
        <v>47894</v>
      </c>
      <c r="C5030" s="1" t="str">
        <f>"WASHINGTON"</f>
        <v>WASHINGTON</v>
      </c>
      <c r="D5030" s="1" t="str">
        <f>"DC"</f>
        <v>DC</v>
      </c>
      <c r="E5030" s="2">
        <v>0</v>
      </c>
      <c r="F5030" s="2">
        <v>1</v>
      </c>
      <c r="G5030" s="2">
        <v>0</v>
      </c>
      <c r="H5030" s="2">
        <v>1</v>
      </c>
    </row>
    <row r="5031" spans="1:8" x14ac:dyDescent="0.25">
      <c r="A5031" s="1" t="str">
        <f>"91305"</f>
        <v>91305</v>
      </c>
      <c r="B5031" s="1" t="str">
        <f>"31084"</f>
        <v>31084</v>
      </c>
      <c r="C5031" s="1" t="str">
        <f>"CANOGA PARK"</f>
        <v>CANOGA PARK</v>
      </c>
      <c r="D5031" s="1" t="str">
        <f>"CA"</f>
        <v>CA</v>
      </c>
      <c r="E5031" s="2">
        <v>1</v>
      </c>
      <c r="F5031" s="2">
        <v>1</v>
      </c>
      <c r="G5031" s="2">
        <v>1</v>
      </c>
      <c r="H5031" s="2">
        <v>1</v>
      </c>
    </row>
    <row r="5032" spans="1:8" x14ac:dyDescent="0.25">
      <c r="A5032" s="1" t="str">
        <f>"76246"</f>
        <v>76246</v>
      </c>
      <c r="B5032" s="1" t="str">
        <f>"23104"</f>
        <v>23104</v>
      </c>
      <c r="C5032" s="1" t="str">
        <f>"GREENWOOD"</f>
        <v>GREENWOOD</v>
      </c>
      <c r="D5032" s="1" t="str">
        <f>"TX"</f>
        <v>TX</v>
      </c>
      <c r="E5032" s="2">
        <v>0</v>
      </c>
      <c r="F5032" s="2">
        <v>0</v>
      </c>
      <c r="G5032" s="2">
        <v>1</v>
      </c>
      <c r="H5032" s="2">
        <v>1</v>
      </c>
    </row>
    <row r="5033" spans="1:8" x14ac:dyDescent="0.25">
      <c r="A5033" s="1" t="str">
        <f>"20403"</f>
        <v>20403</v>
      </c>
      <c r="B5033" s="1" t="str">
        <f>"47894"</f>
        <v>47894</v>
      </c>
      <c r="C5033" s="1" t="str">
        <f>"WASHINGTON"</f>
        <v>WASHINGTON</v>
      </c>
      <c r="D5033" s="1" t="str">
        <f>"DC"</f>
        <v>DC</v>
      </c>
      <c r="E5033" s="2">
        <v>0</v>
      </c>
      <c r="F5033" s="2">
        <v>1</v>
      </c>
      <c r="G5033" s="2">
        <v>0</v>
      </c>
      <c r="H5033" s="2">
        <v>1</v>
      </c>
    </row>
    <row r="5034" spans="1:8" x14ac:dyDescent="0.25">
      <c r="A5034" s="1" t="str">
        <f>"20534"</f>
        <v>20534</v>
      </c>
      <c r="B5034" s="1" t="str">
        <f>"47894"</f>
        <v>47894</v>
      </c>
      <c r="C5034" s="1" t="str">
        <f>"WASHINGTON"</f>
        <v>WASHINGTON</v>
      </c>
      <c r="D5034" s="1" t="str">
        <f>"DC"</f>
        <v>DC</v>
      </c>
      <c r="E5034" s="2">
        <v>0</v>
      </c>
      <c r="F5034" s="2">
        <v>1</v>
      </c>
      <c r="G5034" s="2">
        <v>0</v>
      </c>
      <c r="H5034" s="2">
        <v>1</v>
      </c>
    </row>
    <row r="5035" spans="1:8" x14ac:dyDescent="0.25">
      <c r="A5035" s="1" t="str">
        <f>"75398"</f>
        <v>75398</v>
      </c>
      <c r="B5035" s="1" t="str">
        <f>"19124"</f>
        <v>19124</v>
      </c>
      <c r="C5035" s="1" t="str">
        <f>"DALLAS"</f>
        <v>DALLAS</v>
      </c>
      <c r="D5035" s="1" t="str">
        <f>"TX"</f>
        <v>TX</v>
      </c>
      <c r="E5035" s="2">
        <v>0</v>
      </c>
      <c r="F5035" s="2">
        <v>1</v>
      </c>
      <c r="G5035" s="2">
        <v>1</v>
      </c>
      <c r="H5035" s="2">
        <v>1</v>
      </c>
    </row>
    <row r="5036" spans="1:8" x14ac:dyDescent="0.25">
      <c r="A5036" s="1" t="str">
        <f>"91371"</f>
        <v>91371</v>
      </c>
      <c r="B5036" s="1" t="str">
        <f>"31084"</f>
        <v>31084</v>
      </c>
      <c r="C5036" s="1" t="str">
        <f>"WOODLAND HILLS"</f>
        <v>WOODLAND HILLS</v>
      </c>
      <c r="D5036" s="1" t="str">
        <f>"CA"</f>
        <v>CA</v>
      </c>
      <c r="E5036" s="2">
        <v>0</v>
      </c>
      <c r="F5036" s="2">
        <v>0</v>
      </c>
      <c r="G5036" s="2">
        <v>1</v>
      </c>
      <c r="H5036" s="2">
        <v>1</v>
      </c>
    </row>
    <row r="5037" spans="1:8" x14ac:dyDescent="0.25">
      <c r="A5037" s="1" t="str">
        <f>"01756"</f>
        <v>01756</v>
      </c>
      <c r="B5037" s="1" t="str">
        <f>"14454"</f>
        <v>14454</v>
      </c>
      <c r="C5037" s="1" t="str">
        <f>"MENDON"</f>
        <v>MENDON</v>
      </c>
      <c r="D5037" s="1" t="str">
        <f>"MA"</f>
        <v>MA</v>
      </c>
      <c r="E5037" s="2">
        <v>1</v>
      </c>
      <c r="F5037" s="2">
        <v>0</v>
      </c>
      <c r="G5037" s="2">
        <v>0</v>
      </c>
      <c r="H5037" s="2">
        <v>1</v>
      </c>
    </row>
    <row r="5038" spans="1:8" x14ac:dyDescent="0.25">
      <c r="A5038" s="1" t="str">
        <f>"01472"</f>
        <v>01472</v>
      </c>
      <c r="B5038" s="1" t="str">
        <f>"15764"</f>
        <v>15764</v>
      </c>
      <c r="C5038" s="1" t="str">
        <f>"WEST GROTON"</f>
        <v>WEST GROTON</v>
      </c>
      <c r="D5038" s="1" t="str">
        <f>"MA"</f>
        <v>MA</v>
      </c>
      <c r="E5038" s="2">
        <v>0</v>
      </c>
      <c r="F5038" s="2">
        <v>0</v>
      </c>
      <c r="G5038" s="2">
        <v>1</v>
      </c>
      <c r="H5038" s="2">
        <v>1</v>
      </c>
    </row>
    <row r="5039" spans="1:8" x14ac:dyDescent="0.25">
      <c r="A5039" s="1" t="str">
        <f>"20543"</f>
        <v>20543</v>
      </c>
      <c r="B5039" s="1" t="str">
        <f>"47894"</f>
        <v>47894</v>
      </c>
      <c r="C5039" s="1" t="str">
        <f>"WASHINGTON"</f>
        <v>WASHINGTON</v>
      </c>
      <c r="D5039" s="1" t="str">
        <f>"DC"</f>
        <v>DC</v>
      </c>
      <c r="E5039" s="2">
        <v>0</v>
      </c>
      <c r="F5039" s="2">
        <v>1</v>
      </c>
      <c r="G5039" s="2">
        <v>0</v>
      </c>
      <c r="H5039" s="2">
        <v>1</v>
      </c>
    </row>
    <row r="5040" spans="1:8" x14ac:dyDescent="0.25">
      <c r="A5040" s="1" t="str">
        <f>"25423"</f>
        <v>25423</v>
      </c>
      <c r="B5040" s="1" t="str">
        <f>"47894"</f>
        <v>47894</v>
      </c>
      <c r="C5040" s="1" t="str">
        <f>"HALLTOWN"</f>
        <v>HALLTOWN</v>
      </c>
      <c r="D5040" s="1" t="str">
        <f>"WV"</f>
        <v>WV</v>
      </c>
      <c r="E5040" s="2">
        <v>0</v>
      </c>
      <c r="F5040" s="2">
        <v>0</v>
      </c>
      <c r="G5040" s="2">
        <v>1</v>
      </c>
      <c r="H5040" s="2">
        <v>1</v>
      </c>
    </row>
    <row r="5041" spans="1:8" x14ac:dyDescent="0.25">
      <c r="A5041" s="1" t="str">
        <f>"22227"</f>
        <v>22227</v>
      </c>
      <c r="B5041" s="1" t="str">
        <f>"47894"</f>
        <v>47894</v>
      </c>
      <c r="C5041" s="1" t="str">
        <f>"ARLINGTON"</f>
        <v>ARLINGTON</v>
      </c>
      <c r="D5041" s="1" t="str">
        <f>"VA"</f>
        <v>VA</v>
      </c>
      <c r="E5041" s="2">
        <v>0</v>
      </c>
      <c r="F5041" s="2">
        <v>1</v>
      </c>
      <c r="G5041" s="2">
        <v>0</v>
      </c>
      <c r="H5041" s="2">
        <v>1</v>
      </c>
    </row>
    <row r="5042" spans="1:8" x14ac:dyDescent="0.25">
      <c r="A5042" s="1" t="str">
        <f>"20420"</f>
        <v>20420</v>
      </c>
      <c r="B5042" s="1" t="str">
        <f>"47894"</f>
        <v>47894</v>
      </c>
      <c r="C5042" s="1" t="str">
        <f>"WASHINGTON"</f>
        <v>WASHINGTON</v>
      </c>
      <c r="D5042" s="1" t="str">
        <f>"DC"</f>
        <v>DC</v>
      </c>
      <c r="E5042" s="2">
        <v>0</v>
      </c>
      <c r="F5042" s="2">
        <v>1</v>
      </c>
      <c r="G5042" s="2">
        <v>0</v>
      </c>
      <c r="H5042" s="2">
        <v>1</v>
      </c>
    </row>
    <row r="5043" spans="1:8" x14ac:dyDescent="0.25">
      <c r="A5043" s="1" t="str">
        <f>"46355"</f>
        <v>46355</v>
      </c>
      <c r="B5043" s="1" t="str">
        <f>"23844"</f>
        <v>23844</v>
      </c>
      <c r="C5043" s="1" t="str">
        <f>"LEROY"</f>
        <v>LEROY</v>
      </c>
      <c r="D5043" s="1" t="str">
        <f>"IN"</f>
        <v>IN</v>
      </c>
      <c r="E5043" s="2">
        <v>0</v>
      </c>
      <c r="F5043" s="2">
        <v>0</v>
      </c>
      <c r="G5043" s="2">
        <v>1</v>
      </c>
      <c r="H5043" s="2">
        <v>1</v>
      </c>
    </row>
    <row r="5044" spans="1:8" x14ac:dyDescent="0.25">
      <c r="A5044" s="1" t="str">
        <f>"20531"</f>
        <v>20531</v>
      </c>
      <c r="B5044" s="1" t="str">
        <f>"47894"</f>
        <v>47894</v>
      </c>
      <c r="C5044" s="1" t="str">
        <f>"WASHINGTON"</f>
        <v>WASHINGTON</v>
      </c>
      <c r="D5044" s="1" t="str">
        <f>"DC"</f>
        <v>DC</v>
      </c>
      <c r="E5044" s="2">
        <v>0</v>
      </c>
      <c r="F5044" s="2">
        <v>1</v>
      </c>
      <c r="G5044" s="2">
        <v>0</v>
      </c>
      <c r="H5044" s="2">
        <v>1</v>
      </c>
    </row>
    <row r="5045" spans="1:8" x14ac:dyDescent="0.25">
      <c r="A5045" s="1" t="str">
        <f>"20219"</f>
        <v>20219</v>
      </c>
      <c r="B5045" s="1" t="str">
        <f>"47894"</f>
        <v>47894</v>
      </c>
      <c r="C5045" s="1" t="str">
        <f>"WASHINGTON"</f>
        <v>WASHINGTON</v>
      </c>
      <c r="D5045" s="1" t="str">
        <f>"DC"</f>
        <v>DC</v>
      </c>
      <c r="E5045" s="2">
        <v>0</v>
      </c>
      <c r="F5045" s="2">
        <v>1</v>
      </c>
      <c r="G5045" s="2">
        <v>1</v>
      </c>
      <c r="H5045" s="2">
        <v>1</v>
      </c>
    </row>
    <row r="5046" spans="1:8" x14ac:dyDescent="0.25">
      <c r="A5046" s="1" t="str">
        <f>"46372"</f>
        <v>46372</v>
      </c>
      <c r="B5046" s="1" t="str">
        <f>"23844"</f>
        <v>23844</v>
      </c>
      <c r="C5046" s="1" t="str">
        <f>"ROSELAWN"</f>
        <v>ROSELAWN</v>
      </c>
      <c r="D5046" s="1" t="str">
        <f>"IN"</f>
        <v>IN</v>
      </c>
      <c r="E5046" s="2">
        <v>0</v>
      </c>
      <c r="F5046" s="2">
        <v>0</v>
      </c>
      <c r="G5046" s="2">
        <v>1</v>
      </c>
      <c r="H5046" s="2">
        <v>1</v>
      </c>
    </row>
    <row r="5047" spans="1:8" x14ac:dyDescent="0.25">
      <c r="A5047" s="1" t="str">
        <f>"19486"</f>
        <v>19486</v>
      </c>
      <c r="B5047" s="1" t="str">
        <f>"33874"</f>
        <v>33874</v>
      </c>
      <c r="C5047" s="1" t="str">
        <f>"WEST POINT"</f>
        <v>WEST POINT</v>
      </c>
      <c r="D5047" s="1" t="str">
        <f>"PA"</f>
        <v>PA</v>
      </c>
      <c r="E5047" s="2">
        <v>0</v>
      </c>
      <c r="F5047" s="2">
        <v>1</v>
      </c>
      <c r="G5047" s="2">
        <v>1</v>
      </c>
      <c r="H5047" s="2">
        <v>1</v>
      </c>
    </row>
    <row r="5048" spans="1:8" x14ac:dyDescent="0.25">
      <c r="A5048" s="1" t="str">
        <f>"90610"</f>
        <v>90610</v>
      </c>
      <c r="B5048" s="1" t="str">
        <f>"31084"</f>
        <v>31084</v>
      </c>
      <c r="C5048" s="1" t="str">
        <f>"WHITTIER"</f>
        <v>WHITTIER</v>
      </c>
      <c r="D5048" s="1" t="str">
        <f>"CA"</f>
        <v>CA</v>
      </c>
      <c r="E5048" s="2">
        <v>0</v>
      </c>
      <c r="F5048" s="2">
        <v>0</v>
      </c>
      <c r="G5048" s="2">
        <v>1</v>
      </c>
      <c r="H5048" s="2">
        <v>1</v>
      </c>
    </row>
    <row r="5049" spans="1:8" x14ac:dyDescent="0.25">
      <c r="A5049" s="1" t="str">
        <f>"91382"</f>
        <v>91382</v>
      </c>
      <c r="B5049" s="1" t="str">
        <f>"31084"</f>
        <v>31084</v>
      </c>
      <c r="C5049" s="1" t="str">
        <f>"SANTA CLARITA"</f>
        <v>SANTA CLARITA</v>
      </c>
      <c r="D5049" s="1" t="str">
        <f>"CA"</f>
        <v>CA</v>
      </c>
      <c r="E5049" s="2">
        <v>0</v>
      </c>
      <c r="F5049" s="2">
        <v>0</v>
      </c>
      <c r="G5049" s="2">
        <v>1</v>
      </c>
      <c r="H5049" s="2">
        <v>1</v>
      </c>
    </row>
    <row r="5050" spans="1:8" x14ac:dyDescent="0.25">
      <c r="A5050" s="1" t="str">
        <f>"02109"</f>
        <v>02109</v>
      </c>
      <c r="B5050" s="1" t="str">
        <f>"14454"</f>
        <v>14454</v>
      </c>
      <c r="C5050" s="1" t="str">
        <f>"BOSTON"</f>
        <v>BOSTON</v>
      </c>
      <c r="D5050" s="1" t="str">
        <f>"MA"</f>
        <v>MA</v>
      </c>
      <c r="E5050" s="2">
        <v>1</v>
      </c>
      <c r="F5050" s="2">
        <v>1</v>
      </c>
      <c r="G5050" s="2">
        <v>1</v>
      </c>
      <c r="H5050" s="2">
        <v>1</v>
      </c>
    </row>
    <row r="5051" spans="1:8" x14ac:dyDescent="0.25">
      <c r="A5051" s="1" t="str">
        <f>"02302"</f>
        <v>02302</v>
      </c>
      <c r="B5051" s="1" t="str">
        <f>"14454"</f>
        <v>14454</v>
      </c>
      <c r="C5051" s="1" t="str">
        <f>"BROCKTON"</f>
        <v>BROCKTON</v>
      </c>
      <c r="D5051" s="1" t="str">
        <f>"MA"</f>
        <v>MA</v>
      </c>
      <c r="E5051" s="2">
        <v>1</v>
      </c>
      <c r="F5051" s="2">
        <v>1</v>
      </c>
      <c r="G5051" s="2">
        <v>1</v>
      </c>
      <c r="H5051" s="2">
        <v>1</v>
      </c>
    </row>
    <row r="5052" spans="1:8" x14ac:dyDescent="0.25">
      <c r="A5052" s="1" t="str">
        <f>"02453"</f>
        <v>02453</v>
      </c>
      <c r="B5052" s="1" t="str">
        <f>"15764"</f>
        <v>15764</v>
      </c>
      <c r="C5052" s="1" t="str">
        <f>"WALTHAM"</f>
        <v>WALTHAM</v>
      </c>
      <c r="D5052" s="1" t="str">
        <f>"MA"</f>
        <v>MA</v>
      </c>
      <c r="E5052" s="2">
        <v>1</v>
      </c>
      <c r="F5052" s="2">
        <v>1</v>
      </c>
      <c r="G5052" s="2">
        <v>1</v>
      </c>
      <c r="H5052" s="2">
        <v>1</v>
      </c>
    </row>
    <row r="5053" spans="1:8" x14ac:dyDescent="0.25">
      <c r="A5053" s="1" t="str">
        <f>"07020"</f>
        <v>07020</v>
      </c>
      <c r="B5053" s="1" t="str">
        <f>"35614"</f>
        <v>35614</v>
      </c>
      <c r="C5053" s="1" t="str">
        <f>"EDGEWATER"</f>
        <v>EDGEWATER</v>
      </c>
      <c r="D5053" s="1" t="str">
        <f t="shared" ref="D5053:D5067" si="379">"NJ"</f>
        <v>NJ</v>
      </c>
      <c r="E5053" s="2">
        <v>1</v>
      </c>
      <c r="F5053" s="2">
        <v>1</v>
      </c>
      <c r="G5053" s="2">
        <v>1</v>
      </c>
      <c r="H5053" s="2">
        <v>1</v>
      </c>
    </row>
    <row r="5054" spans="1:8" x14ac:dyDescent="0.25">
      <c r="A5054" s="1" t="str">
        <f>"07052"</f>
        <v>07052</v>
      </c>
      <c r="B5054" s="1" t="str">
        <f>"35084"</f>
        <v>35084</v>
      </c>
      <c r="C5054" s="1" t="str">
        <f>"WEST ORANGE"</f>
        <v>WEST ORANGE</v>
      </c>
      <c r="D5054" s="1" t="str">
        <f t="shared" si="379"/>
        <v>NJ</v>
      </c>
      <c r="E5054" s="2">
        <v>1</v>
      </c>
      <c r="F5054" s="2">
        <v>1</v>
      </c>
      <c r="G5054" s="2">
        <v>1</v>
      </c>
      <c r="H5054" s="2">
        <v>1</v>
      </c>
    </row>
    <row r="5055" spans="1:8" x14ac:dyDescent="0.25">
      <c r="A5055" s="1" t="str">
        <f>"07065"</f>
        <v>07065</v>
      </c>
      <c r="B5055" s="1" t="str">
        <f>"35154"</f>
        <v>35154</v>
      </c>
      <c r="C5055" s="1" t="str">
        <f>"RAHWAY"</f>
        <v>RAHWAY</v>
      </c>
      <c r="D5055" s="1" t="str">
        <f t="shared" si="379"/>
        <v>NJ</v>
      </c>
      <c r="E5055" s="2">
        <v>4.5320643553138401E-4</v>
      </c>
      <c r="F5055" s="2">
        <v>1.15864527629233E-2</v>
      </c>
      <c r="G5055" s="2">
        <v>0</v>
      </c>
      <c r="H5055" s="2">
        <v>1.2518118329160599E-3</v>
      </c>
    </row>
    <row r="5056" spans="1:8" x14ac:dyDescent="0.25">
      <c r="A5056" s="1" t="str">
        <f>"07065"</f>
        <v>07065</v>
      </c>
      <c r="B5056" s="1" t="str">
        <f>"35084"</f>
        <v>35084</v>
      </c>
      <c r="C5056" s="1" t="str">
        <f>"RAHWAY"</f>
        <v>RAHWAY</v>
      </c>
      <c r="D5056" s="1" t="str">
        <f t="shared" si="379"/>
        <v>NJ</v>
      </c>
      <c r="E5056" s="2">
        <v>0.99954679356446796</v>
      </c>
      <c r="F5056" s="2">
        <v>0.98841354723707597</v>
      </c>
      <c r="G5056" s="2">
        <v>1</v>
      </c>
      <c r="H5056" s="2">
        <v>0.998748188167083</v>
      </c>
    </row>
    <row r="5057" spans="1:8" x14ac:dyDescent="0.25">
      <c r="A5057" s="1" t="str">
        <f>"07206"</f>
        <v>07206</v>
      </c>
      <c r="B5057" s="1" t="str">
        <f>"35084"</f>
        <v>35084</v>
      </c>
      <c r="C5057" s="1" t="str">
        <f>"ELIZABETHPORT"</f>
        <v>ELIZABETHPORT</v>
      </c>
      <c r="D5057" s="1" t="str">
        <f t="shared" si="379"/>
        <v>NJ</v>
      </c>
      <c r="E5057" s="2">
        <v>1</v>
      </c>
      <c r="F5057" s="2">
        <v>1</v>
      </c>
      <c r="G5057" s="2">
        <v>1</v>
      </c>
      <c r="H5057" s="2">
        <v>1</v>
      </c>
    </row>
    <row r="5058" spans="1:8" x14ac:dyDescent="0.25">
      <c r="A5058" s="1" t="str">
        <f>"07438"</f>
        <v>07438</v>
      </c>
      <c r="B5058" s="1" t="str">
        <f>"35084"</f>
        <v>35084</v>
      </c>
      <c r="C5058" s="1" t="str">
        <f>"OAK RIDGE"</f>
        <v>OAK RIDGE</v>
      </c>
      <c r="D5058" s="1" t="str">
        <f t="shared" si="379"/>
        <v>NJ</v>
      </c>
      <c r="E5058" s="2">
        <v>0.89409602572938196</v>
      </c>
      <c r="F5058" s="2">
        <v>0.79227053140096604</v>
      </c>
      <c r="G5058" s="2">
        <v>0.903448275862068</v>
      </c>
      <c r="H5058" s="2">
        <v>0.88990435706695004</v>
      </c>
    </row>
    <row r="5059" spans="1:8" x14ac:dyDescent="0.25">
      <c r="A5059" s="1" t="str">
        <f>"07438"</f>
        <v>07438</v>
      </c>
      <c r="B5059" s="1" t="str">
        <f>"35614"</f>
        <v>35614</v>
      </c>
      <c r="C5059" s="1" t="str">
        <f>"OAK RIDGE"</f>
        <v>OAK RIDGE</v>
      </c>
      <c r="D5059" s="1" t="str">
        <f t="shared" si="379"/>
        <v>NJ</v>
      </c>
      <c r="E5059" s="2">
        <v>0.105903974270617</v>
      </c>
      <c r="F5059" s="2">
        <v>0.20772946859903299</v>
      </c>
      <c r="G5059" s="2">
        <v>9.6551724137931005E-2</v>
      </c>
      <c r="H5059" s="2">
        <v>0.11009564293304901</v>
      </c>
    </row>
    <row r="5060" spans="1:8" x14ac:dyDescent="0.25">
      <c r="A5060" s="1" t="str">
        <f>"07505"</f>
        <v>07505</v>
      </c>
      <c r="B5060" s="1" t="str">
        <f>"35614"</f>
        <v>35614</v>
      </c>
      <c r="C5060" s="1" t="str">
        <f>"PATERSON"</f>
        <v>PATERSON</v>
      </c>
      <c r="D5060" s="1" t="str">
        <f t="shared" si="379"/>
        <v>NJ</v>
      </c>
      <c r="E5060" s="2">
        <v>1</v>
      </c>
      <c r="F5060" s="2">
        <v>1</v>
      </c>
      <c r="G5060" s="2">
        <v>1</v>
      </c>
      <c r="H5060" s="2">
        <v>1</v>
      </c>
    </row>
    <row r="5061" spans="1:8" x14ac:dyDescent="0.25">
      <c r="A5061" s="1" t="str">
        <f>"07652"</f>
        <v>07652</v>
      </c>
      <c r="B5061" s="1" t="str">
        <f>"35614"</f>
        <v>35614</v>
      </c>
      <c r="C5061" s="1" t="str">
        <f>"PARAMUS"</f>
        <v>PARAMUS</v>
      </c>
      <c r="D5061" s="1" t="str">
        <f t="shared" si="379"/>
        <v>NJ</v>
      </c>
      <c r="E5061" s="2">
        <v>1</v>
      </c>
      <c r="F5061" s="2">
        <v>1</v>
      </c>
      <c r="G5061" s="2">
        <v>1</v>
      </c>
      <c r="H5061" s="2">
        <v>1</v>
      </c>
    </row>
    <row r="5062" spans="1:8" x14ac:dyDescent="0.25">
      <c r="A5062" s="1" t="str">
        <f>"07757"</f>
        <v>07757</v>
      </c>
      <c r="B5062" s="1" t="str">
        <f>"35154"</f>
        <v>35154</v>
      </c>
      <c r="C5062" s="1" t="str">
        <f>"OCEANPORT"</f>
        <v>OCEANPORT</v>
      </c>
      <c r="D5062" s="1" t="str">
        <f t="shared" si="379"/>
        <v>NJ</v>
      </c>
      <c r="E5062" s="2">
        <v>1</v>
      </c>
      <c r="F5062" s="2">
        <v>1</v>
      </c>
      <c r="G5062" s="2">
        <v>1</v>
      </c>
      <c r="H5062" s="2">
        <v>1</v>
      </c>
    </row>
    <row r="5063" spans="1:8" x14ac:dyDescent="0.25">
      <c r="A5063" s="1" t="str">
        <f>"07826"</f>
        <v>07826</v>
      </c>
      <c r="B5063" s="1" t="str">
        <f>"35084"</f>
        <v>35084</v>
      </c>
      <c r="C5063" s="1" t="str">
        <f>"BRANCHVILLE"</f>
        <v>BRANCHVILLE</v>
      </c>
      <c r="D5063" s="1" t="str">
        <f t="shared" si="379"/>
        <v>NJ</v>
      </c>
      <c r="E5063" s="2">
        <v>1</v>
      </c>
      <c r="F5063" s="2">
        <v>1</v>
      </c>
      <c r="G5063" s="2">
        <v>1</v>
      </c>
      <c r="H5063" s="2">
        <v>1</v>
      </c>
    </row>
    <row r="5064" spans="1:8" x14ac:dyDescent="0.25">
      <c r="A5064" s="1" t="str">
        <f>"07830"</f>
        <v>07830</v>
      </c>
      <c r="B5064" s="1" t="str">
        <f>"35084"</f>
        <v>35084</v>
      </c>
      <c r="C5064" s="1" t="str">
        <f>"CALIFON"</f>
        <v>CALIFON</v>
      </c>
      <c r="D5064" s="1" t="str">
        <f t="shared" si="379"/>
        <v>NJ</v>
      </c>
      <c r="E5064" s="2">
        <v>1</v>
      </c>
      <c r="F5064" s="2">
        <v>1</v>
      </c>
      <c r="G5064" s="2">
        <v>1</v>
      </c>
      <c r="H5064" s="2">
        <v>1</v>
      </c>
    </row>
    <row r="5065" spans="1:8" x14ac:dyDescent="0.25">
      <c r="A5065" s="1" t="str">
        <f>"08066"</f>
        <v>08066</v>
      </c>
      <c r="B5065" s="1" t="str">
        <f>"15804"</f>
        <v>15804</v>
      </c>
      <c r="C5065" s="1" t="str">
        <f>"PAULSBORO"</f>
        <v>PAULSBORO</v>
      </c>
      <c r="D5065" s="1" t="str">
        <f t="shared" si="379"/>
        <v>NJ</v>
      </c>
      <c r="E5065" s="2">
        <v>1</v>
      </c>
      <c r="F5065" s="2">
        <v>1</v>
      </c>
      <c r="G5065" s="2">
        <v>1</v>
      </c>
      <c r="H5065" s="2">
        <v>1</v>
      </c>
    </row>
    <row r="5066" spans="1:8" x14ac:dyDescent="0.25">
      <c r="A5066" s="1" t="str">
        <f>"08801"</f>
        <v>08801</v>
      </c>
      <c r="B5066" s="1" t="str">
        <f>"35084"</f>
        <v>35084</v>
      </c>
      <c r="C5066" s="1" t="str">
        <f>"ANNANDALE"</f>
        <v>ANNANDALE</v>
      </c>
      <c r="D5066" s="1" t="str">
        <f t="shared" si="379"/>
        <v>NJ</v>
      </c>
      <c r="E5066" s="2">
        <v>1</v>
      </c>
      <c r="F5066" s="2">
        <v>1</v>
      </c>
      <c r="G5066" s="2">
        <v>1</v>
      </c>
      <c r="H5066" s="2">
        <v>1</v>
      </c>
    </row>
    <row r="5067" spans="1:8" x14ac:dyDescent="0.25">
      <c r="A5067" s="1" t="str">
        <f>"08846"</f>
        <v>08846</v>
      </c>
      <c r="B5067" s="1" t="str">
        <f>"35154"</f>
        <v>35154</v>
      </c>
      <c r="C5067" s="1" t="str">
        <f>"MIDDLESEX"</f>
        <v>MIDDLESEX</v>
      </c>
      <c r="D5067" s="1" t="str">
        <f t="shared" si="379"/>
        <v>NJ</v>
      </c>
      <c r="E5067" s="2">
        <v>1</v>
      </c>
      <c r="F5067" s="2">
        <v>1</v>
      </c>
      <c r="G5067" s="2">
        <v>1</v>
      </c>
      <c r="H5067" s="2">
        <v>1</v>
      </c>
    </row>
    <row r="5068" spans="1:8" x14ac:dyDescent="0.25">
      <c r="A5068" s="1" t="str">
        <f>"10006"</f>
        <v>10006</v>
      </c>
      <c r="B5068" s="1" t="str">
        <f>"35614"</f>
        <v>35614</v>
      </c>
      <c r="C5068" s="1" t="str">
        <f>"NEW YORK"</f>
        <v>NEW YORK</v>
      </c>
      <c r="D5068" s="1" t="str">
        <f t="shared" ref="D5068:D5081" si="380">"NY"</f>
        <v>NY</v>
      </c>
      <c r="E5068" s="2">
        <v>1</v>
      </c>
      <c r="F5068" s="2">
        <v>1</v>
      </c>
      <c r="G5068" s="2">
        <v>1</v>
      </c>
      <c r="H5068" s="2">
        <v>1</v>
      </c>
    </row>
    <row r="5069" spans="1:8" x14ac:dyDescent="0.25">
      <c r="A5069" s="1" t="str">
        <f>"10035"</f>
        <v>10035</v>
      </c>
      <c r="B5069" s="1" t="str">
        <f>"35614"</f>
        <v>35614</v>
      </c>
      <c r="C5069" s="1" t="str">
        <f>"NEW YORK"</f>
        <v>NEW YORK</v>
      </c>
      <c r="D5069" s="1" t="str">
        <f t="shared" si="380"/>
        <v>NY</v>
      </c>
      <c r="E5069" s="2">
        <v>1</v>
      </c>
      <c r="F5069" s="2">
        <v>1</v>
      </c>
      <c r="G5069" s="2">
        <v>1</v>
      </c>
      <c r="H5069" s="2">
        <v>1</v>
      </c>
    </row>
    <row r="5070" spans="1:8" x14ac:dyDescent="0.25">
      <c r="A5070" s="1" t="str">
        <f>"10105"</f>
        <v>10105</v>
      </c>
      <c r="B5070" s="1" t="str">
        <f>"35614"</f>
        <v>35614</v>
      </c>
      <c r="C5070" s="1" t="str">
        <f>"NEW YORK"</f>
        <v>NEW YORK</v>
      </c>
      <c r="D5070" s="1" t="str">
        <f t="shared" si="380"/>
        <v>NY</v>
      </c>
      <c r="E5070" s="2">
        <v>0</v>
      </c>
      <c r="F5070" s="2">
        <v>1</v>
      </c>
      <c r="G5070" s="2">
        <v>1</v>
      </c>
      <c r="H5070" s="2">
        <v>1</v>
      </c>
    </row>
    <row r="5071" spans="1:8" x14ac:dyDescent="0.25">
      <c r="A5071" s="1" t="str">
        <f>"11020"</f>
        <v>11020</v>
      </c>
      <c r="B5071" s="1" t="str">
        <f>"35004"</f>
        <v>35004</v>
      </c>
      <c r="C5071" s="1" t="str">
        <f>"GREAT NECK"</f>
        <v>GREAT NECK</v>
      </c>
      <c r="D5071" s="1" t="str">
        <f t="shared" si="380"/>
        <v>NY</v>
      </c>
      <c r="E5071" s="2">
        <v>0.991633858267716</v>
      </c>
      <c r="F5071" s="2">
        <v>1</v>
      </c>
      <c r="G5071" s="2">
        <v>1</v>
      </c>
      <c r="H5071" s="2">
        <v>0.99180327868852403</v>
      </c>
    </row>
    <row r="5072" spans="1:8" x14ac:dyDescent="0.25">
      <c r="A5072" s="1" t="str">
        <f>"11020"</f>
        <v>11020</v>
      </c>
      <c r="B5072" s="1" t="str">
        <f>"35614"</f>
        <v>35614</v>
      </c>
      <c r="C5072" s="1" t="str">
        <f>"GREAT NECK"</f>
        <v>GREAT NECK</v>
      </c>
      <c r="D5072" s="1" t="str">
        <f t="shared" si="380"/>
        <v>NY</v>
      </c>
      <c r="E5072" s="2">
        <v>8.3661417322834601E-3</v>
      </c>
      <c r="F5072" s="2">
        <v>0</v>
      </c>
      <c r="G5072" s="2">
        <v>0</v>
      </c>
      <c r="H5072" s="2">
        <v>8.1967213114753999E-3</v>
      </c>
    </row>
    <row r="5073" spans="1:8" x14ac:dyDescent="0.25">
      <c r="A5073" s="1" t="str">
        <f>"11365"</f>
        <v>11365</v>
      </c>
      <c r="B5073" s="1" t="str">
        <f>"35614"</f>
        <v>35614</v>
      </c>
      <c r="C5073" s="1" t="str">
        <f>"FRESH MEADOWS"</f>
        <v>FRESH MEADOWS</v>
      </c>
      <c r="D5073" s="1" t="str">
        <f t="shared" si="380"/>
        <v>NY</v>
      </c>
      <c r="E5073" s="2">
        <v>1</v>
      </c>
      <c r="F5073" s="2">
        <v>1</v>
      </c>
      <c r="G5073" s="2">
        <v>1</v>
      </c>
      <c r="H5073" s="2">
        <v>1</v>
      </c>
    </row>
    <row r="5074" spans="1:8" x14ac:dyDescent="0.25">
      <c r="A5074" s="1" t="str">
        <f>"11356"</f>
        <v>11356</v>
      </c>
      <c r="B5074" s="1" t="str">
        <f>"35614"</f>
        <v>35614</v>
      </c>
      <c r="C5074" s="1" t="str">
        <f>"COLLEGE POINT"</f>
        <v>COLLEGE POINT</v>
      </c>
      <c r="D5074" s="1" t="str">
        <f t="shared" si="380"/>
        <v>NY</v>
      </c>
      <c r="E5074" s="2">
        <v>1</v>
      </c>
      <c r="F5074" s="2">
        <v>1</v>
      </c>
      <c r="G5074" s="2">
        <v>1</v>
      </c>
      <c r="H5074" s="2">
        <v>1</v>
      </c>
    </row>
    <row r="5075" spans="1:8" x14ac:dyDescent="0.25">
      <c r="A5075" s="1" t="str">
        <f>"11706"</f>
        <v>11706</v>
      </c>
      <c r="B5075" s="1" t="str">
        <f>"35004"</f>
        <v>35004</v>
      </c>
      <c r="C5075" s="1" t="str">
        <f>"BAY SHORE"</f>
        <v>BAY SHORE</v>
      </c>
      <c r="D5075" s="1" t="str">
        <f t="shared" si="380"/>
        <v>NY</v>
      </c>
      <c r="E5075" s="2">
        <v>1</v>
      </c>
      <c r="F5075" s="2">
        <v>1</v>
      </c>
      <c r="G5075" s="2">
        <v>1</v>
      </c>
      <c r="H5075" s="2">
        <v>1</v>
      </c>
    </row>
    <row r="5076" spans="1:8" x14ac:dyDescent="0.25">
      <c r="A5076" s="1" t="str">
        <f>"11767"</f>
        <v>11767</v>
      </c>
      <c r="B5076" s="1" t="str">
        <f>"35004"</f>
        <v>35004</v>
      </c>
      <c r="C5076" s="1" t="str">
        <f>"NESCONSET"</f>
        <v>NESCONSET</v>
      </c>
      <c r="D5076" s="1" t="str">
        <f t="shared" si="380"/>
        <v>NY</v>
      </c>
      <c r="E5076" s="2">
        <v>1</v>
      </c>
      <c r="F5076" s="2">
        <v>1</v>
      </c>
      <c r="G5076" s="2">
        <v>1</v>
      </c>
      <c r="H5076" s="2">
        <v>1</v>
      </c>
    </row>
    <row r="5077" spans="1:8" x14ac:dyDescent="0.25">
      <c r="A5077" s="1" t="str">
        <f>"11949"</f>
        <v>11949</v>
      </c>
      <c r="B5077" s="1" t="str">
        <f>"35004"</f>
        <v>35004</v>
      </c>
      <c r="C5077" s="1" t="str">
        <f>"MANORVILLE"</f>
        <v>MANORVILLE</v>
      </c>
      <c r="D5077" s="1" t="str">
        <f t="shared" si="380"/>
        <v>NY</v>
      </c>
      <c r="E5077" s="2">
        <v>1</v>
      </c>
      <c r="F5077" s="2">
        <v>1</v>
      </c>
      <c r="G5077" s="2">
        <v>1</v>
      </c>
      <c r="H5077" s="2">
        <v>1</v>
      </c>
    </row>
    <row r="5078" spans="1:8" x14ac:dyDescent="0.25">
      <c r="A5078" s="1" t="str">
        <f>"10527"</f>
        <v>10527</v>
      </c>
      <c r="B5078" s="1" t="str">
        <f>"35614"</f>
        <v>35614</v>
      </c>
      <c r="C5078" s="1" t="str">
        <f>"GRANITE SPRINGS"</f>
        <v>GRANITE SPRINGS</v>
      </c>
      <c r="D5078" s="1" t="str">
        <f t="shared" si="380"/>
        <v>NY</v>
      </c>
      <c r="E5078" s="2">
        <v>1</v>
      </c>
      <c r="F5078" s="2">
        <v>1</v>
      </c>
      <c r="G5078" s="2">
        <v>1</v>
      </c>
      <c r="H5078" s="2">
        <v>1</v>
      </c>
    </row>
    <row r="5079" spans="1:8" x14ac:dyDescent="0.25">
      <c r="A5079" s="1" t="str">
        <f>"11954"</f>
        <v>11954</v>
      </c>
      <c r="B5079" s="1" t="str">
        <f>"35004"</f>
        <v>35004</v>
      </c>
      <c r="C5079" s="1" t="str">
        <f>"MONTAUK"</f>
        <v>MONTAUK</v>
      </c>
      <c r="D5079" s="1" t="str">
        <f t="shared" si="380"/>
        <v>NY</v>
      </c>
      <c r="E5079" s="2">
        <v>1</v>
      </c>
      <c r="F5079" s="2">
        <v>1</v>
      </c>
      <c r="G5079" s="2">
        <v>1</v>
      </c>
      <c r="H5079" s="2">
        <v>1</v>
      </c>
    </row>
    <row r="5080" spans="1:8" x14ac:dyDescent="0.25">
      <c r="A5080" s="1" t="str">
        <f>"10536"</f>
        <v>10536</v>
      </c>
      <c r="B5080" s="1" t="str">
        <f>"35614"</f>
        <v>35614</v>
      </c>
      <c r="C5080" s="1" t="str">
        <f>"KATONAH"</f>
        <v>KATONAH</v>
      </c>
      <c r="D5080" s="1" t="str">
        <f t="shared" si="380"/>
        <v>NY</v>
      </c>
      <c r="E5080" s="2">
        <v>1</v>
      </c>
      <c r="F5080" s="2">
        <v>1</v>
      </c>
      <c r="G5080" s="2">
        <v>1</v>
      </c>
      <c r="H5080" s="2">
        <v>1</v>
      </c>
    </row>
    <row r="5081" spans="1:8" x14ac:dyDescent="0.25">
      <c r="A5081" s="1" t="str">
        <f>"10804"</f>
        <v>10804</v>
      </c>
      <c r="B5081" s="1" t="str">
        <f>"35614"</f>
        <v>35614</v>
      </c>
      <c r="C5081" s="1" t="str">
        <f>"NEW ROCHELLE"</f>
        <v>NEW ROCHELLE</v>
      </c>
      <c r="D5081" s="1" t="str">
        <f t="shared" si="380"/>
        <v>NY</v>
      </c>
      <c r="E5081" s="2">
        <v>1</v>
      </c>
      <c r="F5081" s="2">
        <v>1</v>
      </c>
      <c r="G5081" s="2">
        <v>1</v>
      </c>
      <c r="H5081" s="2">
        <v>1</v>
      </c>
    </row>
    <row r="5082" spans="1:8" x14ac:dyDescent="0.25">
      <c r="A5082" s="1" t="str">
        <f>"18976"</f>
        <v>18976</v>
      </c>
      <c r="B5082" s="1" t="str">
        <f>"33874"</f>
        <v>33874</v>
      </c>
      <c r="C5082" s="1" t="str">
        <f>"WARRINGTON"</f>
        <v>WARRINGTON</v>
      </c>
      <c r="D5082" s="1" t="str">
        <f t="shared" ref="D5082:D5087" si="381">"PA"</f>
        <v>PA</v>
      </c>
      <c r="E5082" s="2">
        <v>1</v>
      </c>
      <c r="F5082" s="2">
        <v>1</v>
      </c>
      <c r="G5082" s="2">
        <v>1</v>
      </c>
      <c r="H5082" s="2">
        <v>1</v>
      </c>
    </row>
    <row r="5083" spans="1:8" x14ac:dyDescent="0.25">
      <c r="A5083" s="1" t="str">
        <f>"19041"</f>
        <v>19041</v>
      </c>
      <c r="B5083" s="1" t="str">
        <f>"37964"</f>
        <v>37964</v>
      </c>
      <c r="C5083" s="1" t="str">
        <f>"HAVERFORD"</f>
        <v>HAVERFORD</v>
      </c>
      <c r="D5083" s="1" t="str">
        <f t="shared" si="381"/>
        <v>PA</v>
      </c>
      <c r="E5083" s="2">
        <v>0.45058414903694299</v>
      </c>
      <c r="F5083" s="2">
        <v>0.107011070110701</v>
      </c>
      <c r="G5083" s="2">
        <v>9.8039215686274495E-2</v>
      </c>
      <c r="H5083" s="2">
        <v>0.40963519910888302</v>
      </c>
    </row>
    <row r="5084" spans="1:8" x14ac:dyDescent="0.25">
      <c r="A5084" s="1" t="str">
        <f>"19041"</f>
        <v>19041</v>
      </c>
      <c r="B5084" s="1" t="str">
        <f>"33874"</f>
        <v>33874</v>
      </c>
      <c r="C5084" s="1" t="str">
        <f>"HAVERFORD"</f>
        <v>HAVERFORD</v>
      </c>
      <c r="D5084" s="1" t="str">
        <f t="shared" si="381"/>
        <v>PA</v>
      </c>
      <c r="E5084" s="2">
        <v>0.54941585096305601</v>
      </c>
      <c r="F5084" s="2">
        <v>0.89298892988929801</v>
      </c>
      <c r="G5084" s="2">
        <v>0.90196078431372495</v>
      </c>
      <c r="H5084" s="2">
        <v>0.59036480089111598</v>
      </c>
    </row>
    <row r="5085" spans="1:8" x14ac:dyDescent="0.25">
      <c r="A5085" s="1" t="str">
        <f>"19140"</f>
        <v>19140</v>
      </c>
      <c r="B5085" s="1" t="str">
        <f>"37964"</f>
        <v>37964</v>
      </c>
      <c r="C5085" s="1" t="str">
        <f>"PHILADELPHIA"</f>
        <v>PHILADELPHIA</v>
      </c>
      <c r="D5085" s="1" t="str">
        <f t="shared" si="381"/>
        <v>PA</v>
      </c>
      <c r="E5085" s="2">
        <v>1</v>
      </c>
      <c r="F5085" s="2">
        <v>1</v>
      </c>
      <c r="G5085" s="2">
        <v>1</v>
      </c>
      <c r="H5085" s="2">
        <v>1</v>
      </c>
    </row>
    <row r="5086" spans="1:8" x14ac:dyDescent="0.25">
      <c r="A5086" s="1" t="str">
        <f>"19132"</f>
        <v>19132</v>
      </c>
      <c r="B5086" s="1" t="str">
        <f>"37964"</f>
        <v>37964</v>
      </c>
      <c r="C5086" s="1" t="str">
        <f>"PHILADELPHIA"</f>
        <v>PHILADELPHIA</v>
      </c>
      <c r="D5086" s="1" t="str">
        <f t="shared" si="381"/>
        <v>PA</v>
      </c>
      <c r="E5086" s="2">
        <v>1</v>
      </c>
      <c r="F5086" s="2">
        <v>1</v>
      </c>
      <c r="G5086" s="2">
        <v>1</v>
      </c>
      <c r="H5086" s="2">
        <v>1</v>
      </c>
    </row>
    <row r="5087" spans="1:8" x14ac:dyDescent="0.25">
      <c r="A5087" s="1" t="str">
        <f>"19504"</f>
        <v>19504</v>
      </c>
      <c r="B5087" s="1" t="str">
        <f>"33874"</f>
        <v>33874</v>
      </c>
      <c r="C5087" s="1" t="str">
        <f>"BARTO"</f>
        <v>BARTO</v>
      </c>
      <c r="D5087" s="1" t="str">
        <f t="shared" si="381"/>
        <v>PA</v>
      </c>
      <c r="E5087" s="2">
        <v>1</v>
      </c>
      <c r="F5087" s="2">
        <v>1</v>
      </c>
      <c r="G5087" s="2">
        <v>0</v>
      </c>
      <c r="H5087" s="2">
        <v>1</v>
      </c>
    </row>
    <row r="5088" spans="1:8" x14ac:dyDescent="0.25">
      <c r="A5088" s="1" t="str">
        <f>"19720"</f>
        <v>19720</v>
      </c>
      <c r="B5088" s="1" t="str">
        <f>"48864"</f>
        <v>48864</v>
      </c>
      <c r="C5088" s="1" t="str">
        <f>"NEW CASTLE"</f>
        <v>NEW CASTLE</v>
      </c>
      <c r="D5088" s="1" t="str">
        <f>"DE"</f>
        <v>DE</v>
      </c>
      <c r="E5088" s="2">
        <v>1</v>
      </c>
      <c r="F5088" s="2">
        <v>1</v>
      </c>
      <c r="G5088" s="2">
        <v>1</v>
      </c>
      <c r="H5088" s="2">
        <v>1</v>
      </c>
    </row>
    <row r="5089" spans="1:8" x14ac:dyDescent="0.25">
      <c r="A5089" s="1" t="str">
        <f>"19731"</f>
        <v>19731</v>
      </c>
      <c r="B5089" s="1" t="str">
        <f>"48864"</f>
        <v>48864</v>
      </c>
      <c r="C5089" s="1" t="str">
        <f>"PORT PENN"</f>
        <v>PORT PENN</v>
      </c>
      <c r="D5089" s="1" t="str">
        <f>"DE"</f>
        <v>DE</v>
      </c>
      <c r="E5089" s="2">
        <v>1</v>
      </c>
      <c r="F5089" s="2">
        <v>0</v>
      </c>
      <c r="G5089" s="2">
        <v>1</v>
      </c>
      <c r="H5089" s="2">
        <v>1</v>
      </c>
    </row>
    <row r="5090" spans="1:8" x14ac:dyDescent="0.25">
      <c r="A5090" s="1" t="str">
        <f>"20646"</f>
        <v>20646</v>
      </c>
      <c r="B5090" s="1" t="str">
        <f>"47894"</f>
        <v>47894</v>
      </c>
      <c r="C5090" s="1" t="str">
        <f>"LA PLATA"</f>
        <v>LA PLATA</v>
      </c>
      <c r="D5090" s="1" t="str">
        <f>"MD"</f>
        <v>MD</v>
      </c>
      <c r="E5090" s="2">
        <v>1</v>
      </c>
      <c r="F5090" s="2">
        <v>1</v>
      </c>
      <c r="G5090" s="2">
        <v>1</v>
      </c>
      <c r="H5090" s="2">
        <v>1</v>
      </c>
    </row>
    <row r="5091" spans="1:8" x14ac:dyDescent="0.25">
      <c r="A5091" s="1" t="str">
        <f>"20703"</f>
        <v>20703</v>
      </c>
      <c r="B5091" s="1" t="str">
        <f>"47894"</f>
        <v>47894</v>
      </c>
      <c r="C5091" s="1" t="str">
        <f>"LANHAM"</f>
        <v>LANHAM</v>
      </c>
      <c r="D5091" s="1" t="str">
        <f>"MD"</f>
        <v>MD</v>
      </c>
      <c r="E5091" s="2">
        <v>1</v>
      </c>
      <c r="F5091" s="2">
        <v>1</v>
      </c>
      <c r="G5091" s="2">
        <v>1</v>
      </c>
      <c r="H5091" s="2">
        <v>1</v>
      </c>
    </row>
    <row r="5092" spans="1:8" x14ac:dyDescent="0.25">
      <c r="A5092" s="1" t="str">
        <f>"21703"</f>
        <v>21703</v>
      </c>
      <c r="B5092" s="1" t="str">
        <f>"23224"</f>
        <v>23224</v>
      </c>
      <c r="C5092" s="1" t="str">
        <f>"FREDERICK"</f>
        <v>FREDERICK</v>
      </c>
      <c r="D5092" s="1" t="str">
        <f>"MD"</f>
        <v>MD</v>
      </c>
      <c r="E5092" s="2">
        <v>1</v>
      </c>
      <c r="F5092" s="2">
        <v>1</v>
      </c>
      <c r="G5092" s="2">
        <v>1</v>
      </c>
      <c r="H5092" s="2">
        <v>1</v>
      </c>
    </row>
    <row r="5093" spans="1:8" x14ac:dyDescent="0.25">
      <c r="A5093" s="1" t="str">
        <f>"21770"</f>
        <v>21770</v>
      </c>
      <c r="B5093" s="1" t="str">
        <f>"23224"</f>
        <v>23224</v>
      </c>
      <c r="C5093" s="1" t="str">
        <f>"MONROVIA"</f>
        <v>MONROVIA</v>
      </c>
      <c r="D5093" s="1" t="str">
        <f>"MD"</f>
        <v>MD</v>
      </c>
      <c r="E5093" s="2">
        <v>1</v>
      </c>
      <c r="F5093" s="2">
        <v>1</v>
      </c>
      <c r="G5093" s="2">
        <v>1</v>
      </c>
      <c r="H5093" s="2">
        <v>1</v>
      </c>
    </row>
    <row r="5094" spans="1:8" x14ac:dyDescent="0.25">
      <c r="A5094" s="1" t="str">
        <f>"20122"</f>
        <v>20122</v>
      </c>
      <c r="B5094" s="1" t="str">
        <f>"47894"</f>
        <v>47894</v>
      </c>
      <c r="C5094" s="1" t="str">
        <f>"CENTREVILLE"</f>
        <v>CENTREVILLE</v>
      </c>
      <c r="D5094" s="1" t="str">
        <f>"VA"</f>
        <v>VA</v>
      </c>
      <c r="E5094" s="2">
        <v>1</v>
      </c>
      <c r="F5094" s="2">
        <v>1</v>
      </c>
      <c r="G5094" s="2">
        <v>1</v>
      </c>
      <c r="H5094" s="2">
        <v>1</v>
      </c>
    </row>
    <row r="5095" spans="1:8" x14ac:dyDescent="0.25">
      <c r="A5095" s="1" t="str">
        <f>"22406"</f>
        <v>22406</v>
      </c>
      <c r="B5095" s="1" t="str">
        <f>"47894"</f>
        <v>47894</v>
      </c>
      <c r="C5095" s="1" t="str">
        <f>"FREDERICKSBURG"</f>
        <v>FREDERICKSBURG</v>
      </c>
      <c r="D5095" s="1" t="str">
        <f>"VA"</f>
        <v>VA</v>
      </c>
      <c r="E5095" s="2">
        <v>1</v>
      </c>
      <c r="F5095" s="2">
        <v>1</v>
      </c>
      <c r="G5095" s="2">
        <v>1</v>
      </c>
      <c r="H5095" s="2">
        <v>1</v>
      </c>
    </row>
    <row r="5096" spans="1:8" x14ac:dyDescent="0.25">
      <c r="A5096" s="1" t="str">
        <f>"22404"</f>
        <v>22404</v>
      </c>
      <c r="B5096" s="1" t="str">
        <f>"47894"</f>
        <v>47894</v>
      </c>
      <c r="C5096" s="1" t="str">
        <f>"FREDERICKSBURG"</f>
        <v>FREDERICKSBURG</v>
      </c>
      <c r="D5096" s="1" t="str">
        <f>"VA"</f>
        <v>VA</v>
      </c>
      <c r="E5096" s="2">
        <v>1</v>
      </c>
      <c r="F5096" s="2">
        <v>1</v>
      </c>
      <c r="G5096" s="2">
        <v>1</v>
      </c>
      <c r="H5096" s="2">
        <v>1</v>
      </c>
    </row>
    <row r="5097" spans="1:8" x14ac:dyDescent="0.25">
      <c r="A5097" s="1" t="str">
        <f>"33129"</f>
        <v>33129</v>
      </c>
      <c r="B5097" s="1" t="str">
        <f>"33124"</f>
        <v>33124</v>
      </c>
      <c r="C5097" s="1" t="str">
        <f>"MIAMI"</f>
        <v>MIAMI</v>
      </c>
      <c r="D5097" s="1" t="str">
        <f>"FL"</f>
        <v>FL</v>
      </c>
      <c r="E5097" s="2">
        <v>1</v>
      </c>
      <c r="F5097" s="2">
        <v>1</v>
      </c>
      <c r="G5097" s="2">
        <v>1</v>
      </c>
      <c r="H5097" s="2">
        <v>1</v>
      </c>
    </row>
    <row r="5098" spans="1:8" x14ac:dyDescent="0.25">
      <c r="A5098" s="1" t="str">
        <f>"33137"</f>
        <v>33137</v>
      </c>
      <c r="B5098" s="1" t="str">
        <f>"33124"</f>
        <v>33124</v>
      </c>
      <c r="C5098" s="1" t="str">
        <f>"MIAMI"</f>
        <v>MIAMI</v>
      </c>
      <c r="D5098" s="1" t="str">
        <f>"FL"</f>
        <v>FL</v>
      </c>
      <c r="E5098" s="2">
        <v>1</v>
      </c>
      <c r="F5098" s="2">
        <v>1</v>
      </c>
      <c r="G5098" s="2">
        <v>1</v>
      </c>
      <c r="H5098" s="2">
        <v>1</v>
      </c>
    </row>
    <row r="5099" spans="1:8" x14ac:dyDescent="0.25">
      <c r="A5099" s="1" t="str">
        <f>"33425"</f>
        <v>33425</v>
      </c>
      <c r="B5099" s="1" t="str">
        <f>"48424"</f>
        <v>48424</v>
      </c>
      <c r="C5099" s="1" t="str">
        <f>"BOYNTON BEACH"</f>
        <v>BOYNTON BEACH</v>
      </c>
      <c r="D5099" s="1" t="str">
        <f>"FL"</f>
        <v>FL</v>
      </c>
      <c r="E5099" s="2">
        <v>1</v>
      </c>
      <c r="F5099" s="2">
        <v>1</v>
      </c>
      <c r="G5099" s="2">
        <v>1</v>
      </c>
      <c r="H5099" s="2">
        <v>1</v>
      </c>
    </row>
    <row r="5100" spans="1:8" x14ac:dyDescent="0.25">
      <c r="A5100" s="1" t="str">
        <f>"33405"</f>
        <v>33405</v>
      </c>
      <c r="B5100" s="1" t="str">
        <f>"48424"</f>
        <v>48424</v>
      </c>
      <c r="C5100" s="1" t="str">
        <f>"WEST PALM BEACH"</f>
        <v>WEST PALM BEACH</v>
      </c>
      <c r="D5100" s="1" t="str">
        <f>"FL"</f>
        <v>FL</v>
      </c>
      <c r="E5100" s="2">
        <v>1</v>
      </c>
      <c r="F5100" s="2">
        <v>1</v>
      </c>
      <c r="G5100" s="2">
        <v>1</v>
      </c>
      <c r="H5100" s="2">
        <v>1</v>
      </c>
    </row>
    <row r="5101" spans="1:8" x14ac:dyDescent="0.25">
      <c r="A5101" s="1" t="str">
        <f>"33147"</f>
        <v>33147</v>
      </c>
      <c r="B5101" s="1" t="str">
        <f>"33124"</f>
        <v>33124</v>
      </c>
      <c r="C5101" s="1" t="str">
        <f>"MIAMI"</f>
        <v>MIAMI</v>
      </c>
      <c r="D5101" s="1" t="str">
        <f>"FL"</f>
        <v>FL</v>
      </c>
      <c r="E5101" s="2">
        <v>1</v>
      </c>
      <c r="F5101" s="2">
        <v>1</v>
      </c>
      <c r="G5101" s="2">
        <v>1</v>
      </c>
      <c r="H5101" s="2">
        <v>1</v>
      </c>
    </row>
    <row r="5102" spans="1:8" x14ac:dyDescent="0.25">
      <c r="A5102" s="1" t="str">
        <f>"46356"</f>
        <v>46356</v>
      </c>
      <c r="B5102" s="1" t="str">
        <f>"23844"</f>
        <v>23844</v>
      </c>
      <c r="C5102" s="1" t="str">
        <f>"LOWELL"</f>
        <v>LOWELL</v>
      </c>
      <c r="D5102" s="1" t="str">
        <f>"IN"</f>
        <v>IN</v>
      </c>
      <c r="E5102" s="2">
        <v>1</v>
      </c>
      <c r="F5102" s="2">
        <v>1</v>
      </c>
      <c r="G5102" s="2">
        <v>1</v>
      </c>
      <c r="H5102" s="2">
        <v>1</v>
      </c>
    </row>
    <row r="5103" spans="1:8" x14ac:dyDescent="0.25">
      <c r="A5103" s="1" t="str">
        <f>"46375"</f>
        <v>46375</v>
      </c>
      <c r="B5103" s="1" t="str">
        <f>"23844"</f>
        <v>23844</v>
      </c>
      <c r="C5103" s="1" t="str">
        <f>"SCHERERVILLE"</f>
        <v>SCHERERVILLE</v>
      </c>
      <c r="D5103" s="1" t="str">
        <f>"IN"</f>
        <v>IN</v>
      </c>
      <c r="E5103" s="2">
        <v>1</v>
      </c>
      <c r="F5103" s="2">
        <v>1</v>
      </c>
      <c r="G5103" s="2">
        <v>1</v>
      </c>
      <c r="H5103" s="2">
        <v>1</v>
      </c>
    </row>
    <row r="5104" spans="1:8" x14ac:dyDescent="0.25">
      <c r="A5104" s="1" t="str">
        <f>"46320"</f>
        <v>46320</v>
      </c>
      <c r="B5104" s="1" t="str">
        <f>"23844"</f>
        <v>23844</v>
      </c>
      <c r="C5104" s="1" t="str">
        <f>"HAMMOND"</f>
        <v>HAMMOND</v>
      </c>
      <c r="D5104" s="1" t="str">
        <f>"IN"</f>
        <v>IN</v>
      </c>
      <c r="E5104" s="2">
        <v>1</v>
      </c>
      <c r="F5104" s="2">
        <v>1</v>
      </c>
      <c r="G5104" s="2">
        <v>1</v>
      </c>
      <c r="H5104" s="2">
        <v>1</v>
      </c>
    </row>
    <row r="5105" spans="1:8" x14ac:dyDescent="0.25">
      <c r="A5105" s="1" t="str">
        <f>"48044"</f>
        <v>48044</v>
      </c>
      <c r="B5105" s="1" t="str">
        <f>"47664"</f>
        <v>47664</v>
      </c>
      <c r="C5105" s="1" t="str">
        <f>"MACOMB"</f>
        <v>MACOMB</v>
      </c>
      <c r="D5105" s="1" t="str">
        <f>"MI"</f>
        <v>MI</v>
      </c>
      <c r="E5105" s="2">
        <v>1</v>
      </c>
      <c r="F5105" s="2">
        <v>1</v>
      </c>
      <c r="G5105" s="2">
        <v>1</v>
      </c>
      <c r="H5105" s="2">
        <v>1</v>
      </c>
    </row>
    <row r="5106" spans="1:8" x14ac:dyDescent="0.25">
      <c r="A5106" s="1" t="str">
        <f>"47963"</f>
        <v>47963</v>
      </c>
      <c r="B5106" s="1" t="str">
        <f>"23844"</f>
        <v>23844</v>
      </c>
      <c r="C5106" s="1" t="str">
        <f>"MOROCCO"</f>
        <v>MOROCCO</v>
      </c>
      <c r="D5106" s="1" t="str">
        <f>"IN"</f>
        <v>IN</v>
      </c>
      <c r="E5106" s="2">
        <v>1</v>
      </c>
      <c r="F5106" s="2">
        <v>1</v>
      </c>
      <c r="G5106" s="2">
        <v>1</v>
      </c>
      <c r="H5106" s="2">
        <v>1</v>
      </c>
    </row>
    <row r="5107" spans="1:8" x14ac:dyDescent="0.25">
      <c r="A5107" s="1" t="str">
        <f>"48094"</f>
        <v>48094</v>
      </c>
      <c r="B5107" s="1" t="str">
        <f>"47664"</f>
        <v>47664</v>
      </c>
      <c r="C5107" s="1" t="str">
        <f>"WASHINGTON"</f>
        <v>WASHINGTON</v>
      </c>
      <c r="D5107" s="1" t="str">
        <f>"MI"</f>
        <v>MI</v>
      </c>
      <c r="E5107" s="2">
        <v>1</v>
      </c>
      <c r="F5107" s="2">
        <v>1</v>
      </c>
      <c r="G5107" s="2">
        <v>1</v>
      </c>
      <c r="H5107" s="2">
        <v>1</v>
      </c>
    </row>
    <row r="5108" spans="1:8" x14ac:dyDescent="0.25">
      <c r="A5108" s="1" t="str">
        <f>"48371"</f>
        <v>48371</v>
      </c>
      <c r="B5108" s="1" t="str">
        <f>"47664"</f>
        <v>47664</v>
      </c>
      <c r="C5108" s="1" t="str">
        <f>"OXFORD"</f>
        <v>OXFORD</v>
      </c>
      <c r="D5108" s="1" t="str">
        <f>"MI"</f>
        <v>MI</v>
      </c>
      <c r="E5108" s="2">
        <v>1</v>
      </c>
      <c r="F5108" s="2">
        <v>1</v>
      </c>
      <c r="G5108" s="2">
        <v>1</v>
      </c>
      <c r="H5108" s="2">
        <v>1</v>
      </c>
    </row>
    <row r="5109" spans="1:8" x14ac:dyDescent="0.25">
      <c r="A5109" s="1" t="str">
        <f>"48242"</f>
        <v>48242</v>
      </c>
      <c r="B5109" s="1" t="str">
        <f>"19804"</f>
        <v>19804</v>
      </c>
      <c r="C5109" s="1" t="str">
        <f>"DETROIT"</f>
        <v>DETROIT</v>
      </c>
      <c r="D5109" s="1" t="str">
        <f>"MI"</f>
        <v>MI</v>
      </c>
      <c r="E5109" s="2">
        <v>1</v>
      </c>
      <c r="F5109" s="2">
        <v>1</v>
      </c>
      <c r="G5109" s="2">
        <v>1</v>
      </c>
      <c r="H5109" s="2">
        <v>1</v>
      </c>
    </row>
    <row r="5110" spans="1:8" x14ac:dyDescent="0.25">
      <c r="A5110" s="1" t="str">
        <f>"48228"</f>
        <v>48228</v>
      </c>
      <c r="B5110" s="1" t="str">
        <f>"19804"</f>
        <v>19804</v>
      </c>
      <c r="C5110" s="1" t="str">
        <f>"DETROIT"</f>
        <v>DETROIT</v>
      </c>
      <c r="D5110" s="1" t="str">
        <f>"MI"</f>
        <v>MI</v>
      </c>
      <c r="E5110" s="2">
        <v>1</v>
      </c>
      <c r="F5110" s="2">
        <v>1</v>
      </c>
      <c r="G5110" s="2">
        <v>1</v>
      </c>
      <c r="H5110" s="2">
        <v>1</v>
      </c>
    </row>
    <row r="5111" spans="1:8" x14ac:dyDescent="0.25">
      <c r="A5111" s="1" t="str">
        <f>"48120"</f>
        <v>48120</v>
      </c>
      <c r="B5111" s="1" t="str">
        <f>"19804"</f>
        <v>19804</v>
      </c>
      <c r="C5111" s="1" t="str">
        <f>"DEARBORN"</f>
        <v>DEARBORN</v>
      </c>
      <c r="D5111" s="1" t="str">
        <f>"MI"</f>
        <v>MI</v>
      </c>
      <c r="E5111" s="2">
        <v>1</v>
      </c>
      <c r="F5111" s="2">
        <v>1</v>
      </c>
      <c r="G5111" s="2">
        <v>1</v>
      </c>
      <c r="H5111" s="2">
        <v>1</v>
      </c>
    </row>
    <row r="5112" spans="1:8" x14ac:dyDescent="0.25">
      <c r="A5112" s="1" t="str">
        <f>"53181"</f>
        <v>53181</v>
      </c>
      <c r="B5112" s="1" t="str">
        <f>"29404"</f>
        <v>29404</v>
      </c>
      <c r="C5112" s="1" t="str">
        <f>"TWIN LAKES"</f>
        <v>TWIN LAKES</v>
      </c>
      <c r="D5112" s="1" t="str">
        <f>"WI"</f>
        <v>WI</v>
      </c>
      <c r="E5112" s="2">
        <v>1</v>
      </c>
      <c r="F5112" s="2">
        <v>1</v>
      </c>
      <c r="G5112" s="2">
        <v>1</v>
      </c>
      <c r="H5112" s="2">
        <v>1</v>
      </c>
    </row>
    <row r="5113" spans="1:8" x14ac:dyDescent="0.25">
      <c r="A5113" s="1" t="str">
        <f>"60440"</f>
        <v>60440</v>
      </c>
      <c r="B5113" s="1" t="str">
        <f t="shared" ref="B5113:B5118" si="382">"16984"</f>
        <v>16984</v>
      </c>
      <c r="C5113" s="1" t="str">
        <f>"BOLINGBROOK"</f>
        <v>BOLINGBROOK</v>
      </c>
      <c r="D5113" s="1" t="str">
        <f t="shared" ref="D5113:D5125" si="383">"IL"</f>
        <v>IL</v>
      </c>
      <c r="E5113" s="2">
        <v>1</v>
      </c>
      <c r="F5113" s="2">
        <v>1</v>
      </c>
      <c r="G5113" s="2">
        <v>1</v>
      </c>
      <c r="H5113" s="2">
        <v>1</v>
      </c>
    </row>
    <row r="5114" spans="1:8" x14ac:dyDescent="0.25">
      <c r="A5114" s="1" t="str">
        <f>"60451"</f>
        <v>60451</v>
      </c>
      <c r="B5114" s="1" t="str">
        <f t="shared" si="382"/>
        <v>16984</v>
      </c>
      <c r="C5114" s="1" t="str">
        <f>"NEW LENOX"</f>
        <v>NEW LENOX</v>
      </c>
      <c r="D5114" s="1" t="str">
        <f t="shared" si="383"/>
        <v>IL</v>
      </c>
      <c r="E5114" s="2">
        <v>1</v>
      </c>
      <c r="F5114" s="2">
        <v>1</v>
      </c>
      <c r="G5114" s="2">
        <v>1</v>
      </c>
      <c r="H5114" s="2">
        <v>1</v>
      </c>
    </row>
    <row r="5115" spans="1:8" x14ac:dyDescent="0.25">
      <c r="A5115" s="1" t="str">
        <f>"60420"</f>
        <v>60420</v>
      </c>
      <c r="B5115" s="1" t="str">
        <f t="shared" si="382"/>
        <v>16984</v>
      </c>
      <c r="C5115" s="1" t="str">
        <f>"DWIGHT"</f>
        <v>DWIGHT</v>
      </c>
      <c r="D5115" s="1" t="str">
        <f t="shared" si="383"/>
        <v>IL</v>
      </c>
      <c r="E5115" s="2">
        <v>1</v>
      </c>
      <c r="F5115" s="2">
        <v>1</v>
      </c>
      <c r="G5115" s="2">
        <v>0</v>
      </c>
      <c r="H5115" s="2">
        <v>1</v>
      </c>
    </row>
    <row r="5116" spans="1:8" x14ac:dyDescent="0.25">
      <c r="A5116" s="1" t="str">
        <f>"60474"</f>
        <v>60474</v>
      </c>
      <c r="B5116" s="1" t="str">
        <f t="shared" si="382"/>
        <v>16984</v>
      </c>
      <c r="C5116" s="1" t="str">
        <f>"SOUTH WILMINGTON"</f>
        <v>SOUTH WILMINGTON</v>
      </c>
      <c r="D5116" s="1" t="str">
        <f t="shared" si="383"/>
        <v>IL</v>
      </c>
      <c r="E5116" s="2">
        <v>1</v>
      </c>
      <c r="F5116" s="2">
        <v>1</v>
      </c>
      <c r="G5116" s="2">
        <v>1</v>
      </c>
      <c r="H5116" s="2">
        <v>1</v>
      </c>
    </row>
    <row r="5117" spans="1:8" x14ac:dyDescent="0.25">
      <c r="A5117" s="1" t="str">
        <f>"60480"</f>
        <v>60480</v>
      </c>
      <c r="B5117" s="1" t="str">
        <f t="shared" si="382"/>
        <v>16984</v>
      </c>
      <c r="C5117" s="1" t="str">
        <f>"WILLOW SPRINGS"</f>
        <v>WILLOW SPRINGS</v>
      </c>
      <c r="D5117" s="1" t="str">
        <f t="shared" si="383"/>
        <v>IL</v>
      </c>
      <c r="E5117" s="2">
        <v>1</v>
      </c>
      <c r="F5117" s="2">
        <v>1</v>
      </c>
      <c r="G5117" s="2">
        <v>1</v>
      </c>
      <c r="H5117" s="2">
        <v>1</v>
      </c>
    </row>
    <row r="5118" spans="1:8" x14ac:dyDescent="0.25">
      <c r="A5118" s="1" t="str">
        <f>"60026"</f>
        <v>60026</v>
      </c>
      <c r="B5118" s="1" t="str">
        <f t="shared" si="382"/>
        <v>16984</v>
      </c>
      <c r="C5118" s="1" t="str">
        <f>"GLENVIEW"</f>
        <v>GLENVIEW</v>
      </c>
      <c r="D5118" s="1" t="str">
        <f t="shared" si="383"/>
        <v>IL</v>
      </c>
      <c r="E5118" s="2">
        <v>1</v>
      </c>
      <c r="F5118" s="2">
        <v>1</v>
      </c>
      <c r="G5118" s="2">
        <v>1</v>
      </c>
      <c r="H5118" s="2">
        <v>1</v>
      </c>
    </row>
    <row r="5119" spans="1:8" x14ac:dyDescent="0.25">
      <c r="A5119" s="1" t="str">
        <f>"60064"</f>
        <v>60064</v>
      </c>
      <c r="B5119" s="1" t="str">
        <f>"29404"</f>
        <v>29404</v>
      </c>
      <c r="C5119" s="1" t="str">
        <f>"NORTH CHICAGO"</f>
        <v>NORTH CHICAGO</v>
      </c>
      <c r="D5119" s="1" t="str">
        <f t="shared" si="383"/>
        <v>IL</v>
      </c>
      <c r="E5119" s="2">
        <v>1</v>
      </c>
      <c r="F5119" s="2">
        <v>1</v>
      </c>
      <c r="G5119" s="2">
        <v>1</v>
      </c>
      <c r="H5119" s="2">
        <v>1</v>
      </c>
    </row>
    <row r="5120" spans="1:8" x14ac:dyDescent="0.25">
      <c r="A5120" s="1" t="str">
        <f>"60044"</f>
        <v>60044</v>
      </c>
      <c r="B5120" s="1" t="str">
        <f>"29404"</f>
        <v>29404</v>
      </c>
      <c r="C5120" s="1" t="str">
        <f>"LAKE BLUFF"</f>
        <v>LAKE BLUFF</v>
      </c>
      <c r="D5120" s="1" t="str">
        <f t="shared" si="383"/>
        <v>IL</v>
      </c>
      <c r="E5120" s="2">
        <v>1</v>
      </c>
      <c r="F5120" s="2">
        <v>1</v>
      </c>
      <c r="G5120" s="2">
        <v>1</v>
      </c>
      <c r="H5120" s="2">
        <v>1</v>
      </c>
    </row>
    <row r="5121" spans="1:8" x14ac:dyDescent="0.25">
      <c r="A5121" s="1" t="str">
        <f>"60143"</f>
        <v>60143</v>
      </c>
      <c r="B5121" s="1" t="str">
        <f>"16984"</f>
        <v>16984</v>
      </c>
      <c r="C5121" s="1" t="str">
        <f>"ITASCA"</f>
        <v>ITASCA</v>
      </c>
      <c r="D5121" s="1" t="str">
        <f t="shared" si="383"/>
        <v>IL</v>
      </c>
      <c r="E5121" s="2">
        <v>1</v>
      </c>
      <c r="F5121" s="2">
        <v>1</v>
      </c>
      <c r="G5121" s="2">
        <v>1</v>
      </c>
      <c r="H5121" s="2">
        <v>1</v>
      </c>
    </row>
    <row r="5122" spans="1:8" x14ac:dyDescent="0.25">
      <c r="A5122" s="1" t="str">
        <f>"60083"</f>
        <v>60083</v>
      </c>
      <c r="B5122" s="1" t="str">
        <f>"29404"</f>
        <v>29404</v>
      </c>
      <c r="C5122" s="1" t="str">
        <f>"WADSWORTH"</f>
        <v>WADSWORTH</v>
      </c>
      <c r="D5122" s="1" t="str">
        <f t="shared" si="383"/>
        <v>IL</v>
      </c>
      <c r="E5122" s="2">
        <v>1</v>
      </c>
      <c r="F5122" s="2">
        <v>1</v>
      </c>
      <c r="G5122" s="2">
        <v>1</v>
      </c>
      <c r="H5122" s="2">
        <v>1</v>
      </c>
    </row>
    <row r="5123" spans="1:8" x14ac:dyDescent="0.25">
      <c r="A5123" s="1" t="str">
        <f>"60176"</f>
        <v>60176</v>
      </c>
      <c r="B5123" s="1" t="str">
        <f>"16984"</f>
        <v>16984</v>
      </c>
      <c r="C5123" s="1" t="str">
        <f>"SCHILLER PARK"</f>
        <v>SCHILLER PARK</v>
      </c>
      <c r="D5123" s="1" t="str">
        <f t="shared" si="383"/>
        <v>IL</v>
      </c>
      <c r="E5123" s="2">
        <v>1</v>
      </c>
      <c r="F5123" s="2">
        <v>1</v>
      </c>
      <c r="G5123" s="2">
        <v>1</v>
      </c>
      <c r="H5123" s="2">
        <v>1</v>
      </c>
    </row>
    <row r="5124" spans="1:8" x14ac:dyDescent="0.25">
      <c r="A5124" s="1" t="str">
        <f>"60190"</f>
        <v>60190</v>
      </c>
      <c r="B5124" s="1" t="str">
        <f>"16984"</f>
        <v>16984</v>
      </c>
      <c r="C5124" s="1" t="str">
        <f>"WINFIELD"</f>
        <v>WINFIELD</v>
      </c>
      <c r="D5124" s="1" t="str">
        <f t="shared" si="383"/>
        <v>IL</v>
      </c>
      <c r="E5124" s="2">
        <v>1</v>
      </c>
      <c r="F5124" s="2">
        <v>1</v>
      </c>
      <c r="G5124" s="2">
        <v>1</v>
      </c>
      <c r="H5124" s="2">
        <v>1</v>
      </c>
    </row>
    <row r="5125" spans="1:8" x14ac:dyDescent="0.25">
      <c r="A5125" s="1" t="str">
        <f>"60677"</f>
        <v>60677</v>
      </c>
      <c r="B5125" s="1" t="str">
        <f>"16984"</f>
        <v>16984</v>
      </c>
      <c r="C5125" s="1" t="str">
        <f>"CHICAGO"</f>
        <v>CHICAGO</v>
      </c>
      <c r="D5125" s="1" t="str">
        <f t="shared" si="383"/>
        <v>IL</v>
      </c>
      <c r="E5125" s="2">
        <v>0</v>
      </c>
      <c r="F5125" s="2">
        <v>1</v>
      </c>
      <c r="G5125" s="2">
        <v>0</v>
      </c>
      <c r="H5125" s="2">
        <v>1</v>
      </c>
    </row>
    <row r="5126" spans="1:8" x14ac:dyDescent="0.25">
      <c r="A5126" s="1" t="str">
        <f>"75036"</f>
        <v>75036</v>
      </c>
      <c r="B5126" s="1" t="str">
        <f>"19124"</f>
        <v>19124</v>
      </c>
      <c r="C5126" s="1" t="str">
        <f>"FRISCO"</f>
        <v>FRISCO</v>
      </c>
      <c r="D5126" s="1" t="str">
        <f t="shared" ref="D5126:D5137" si="384">"TX"</f>
        <v>TX</v>
      </c>
      <c r="E5126" s="2">
        <v>1</v>
      </c>
      <c r="F5126" s="2">
        <v>1</v>
      </c>
      <c r="G5126" s="2">
        <v>1</v>
      </c>
      <c r="H5126" s="2">
        <v>1</v>
      </c>
    </row>
    <row r="5127" spans="1:8" x14ac:dyDescent="0.25">
      <c r="A5127" s="1" t="str">
        <f>"75015"</f>
        <v>75015</v>
      </c>
      <c r="B5127" s="1" t="str">
        <f>"19124"</f>
        <v>19124</v>
      </c>
      <c r="C5127" s="1" t="str">
        <f>"IRVING"</f>
        <v>IRVING</v>
      </c>
      <c r="D5127" s="1" t="str">
        <f t="shared" si="384"/>
        <v>TX</v>
      </c>
      <c r="E5127" s="2">
        <v>1</v>
      </c>
      <c r="F5127" s="2">
        <v>1</v>
      </c>
      <c r="G5127" s="2">
        <v>1</v>
      </c>
      <c r="H5127" s="2">
        <v>1</v>
      </c>
    </row>
    <row r="5128" spans="1:8" x14ac:dyDescent="0.25">
      <c r="A5128" s="1" t="str">
        <f>"75044"</f>
        <v>75044</v>
      </c>
      <c r="B5128" s="1" t="str">
        <f>"19124"</f>
        <v>19124</v>
      </c>
      <c r="C5128" s="1" t="str">
        <f>"GARLAND"</f>
        <v>GARLAND</v>
      </c>
      <c r="D5128" s="1" t="str">
        <f t="shared" si="384"/>
        <v>TX</v>
      </c>
      <c r="E5128" s="2">
        <v>1</v>
      </c>
      <c r="F5128" s="2">
        <v>1</v>
      </c>
      <c r="G5128" s="2">
        <v>1</v>
      </c>
      <c r="H5128" s="2">
        <v>1</v>
      </c>
    </row>
    <row r="5129" spans="1:8" x14ac:dyDescent="0.25">
      <c r="A5129" s="1" t="str">
        <f>"75051"</f>
        <v>75051</v>
      </c>
      <c r="B5129" s="1" t="str">
        <f>"19124"</f>
        <v>19124</v>
      </c>
      <c r="C5129" s="1" t="str">
        <f>"GRAND PRAIRIE"</f>
        <v>GRAND PRAIRIE</v>
      </c>
      <c r="D5129" s="1" t="str">
        <f t="shared" si="384"/>
        <v>TX</v>
      </c>
      <c r="E5129" s="2">
        <v>0.87674099732986899</v>
      </c>
      <c r="F5129" s="2">
        <v>0.74305965741287605</v>
      </c>
      <c r="G5129" s="2">
        <v>0.75317604355716805</v>
      </c>
      <c r="H5129" s="2">
        <v>0.85497237569060702</v>
      </c>
    </row>
    <row r="5130" spans="1:8" x14ac:dyDescent="0.25">
      <c r="A5130" s="1" t="str">
        <f>"75051"</f>
        <v>75051</v>
      </c>
      <c r="B5130" s="1" t="str">
        <f>"23104"</f>
        <v>23104</v>
      </c>
      <c r="C5130" s="1" t="str">
        <f>"GRAND PRAIRIE"</f>
        <v>GRAND PRAIRIE</v>
      </c>
      <c r="D5130" s="1" t="str">
        <f t="shared" si="384"/>
        <v>TX</v>
      </c>
      <c r="E5130" s="2">
        <v>0.12325900267013</v>
      </c>
      <c r="F5130" s="2">
        <v>0.25694034258712301</v>
      </c>
      <c r="G5130" s="2">
        <v>0.24682395644283101</v>
      </c>
      <c r="H5130" s="2">
        <v>0.14502762430939201</v>
      </c>
    </row>
    <row r="5131" spans="1:8" x14ac:dyDescent="0.25">
      <c r="A5131" s="1" t="str">
        <f>"75474"</f>
        <v>75474</v>
      </c>
      <c r="B5131" s="1" t="str">
        <f t="shared" ref="B5131:B5136" si="385">"19124"</f>
        <v>19124</v>
      </c>
      <c r="C5131" s="1" t="str">
        <f>"QUINLAN"</f>
        <v>QUINLAN</v>
      </c>
      <c r="D5131" s="1" t="str">
        <f t="shared" si="384"/>
        <v>TX</v>
      </c>
      <c r="E5131" s="2">
        <v>1</v>
      </c>
      <c r="F5131" s="2">
        <v>1</v>
      </c>
      <c r="G5131" s="2">
        <v>1</v>
      </c>
      <c r="H5131" s="2">
        <v>1</v>
      </c>
    </row>
    <row r="5132" spans="1:8" x14ac:dyDescent="0.25">
      <c r="A5132" s="1" t="str">
        <f>"75089"</f>
        <v>75089</v>
      </c>
      <c r="B5132" s="1" t="str">
        <f t="shared" si="385"/>
        <v>19124</v>
      </c>
      <c r="C5132" s="1" t="str">
        <f>"ROWLETT"</f>
        <v>ROWLETT</v>
      </c>
      <c r="D5132" s="1" t="str">
        <f t="shared" si="384"/>
        <v>TX</v>
      </c>
      <c r="E5132" s="2">
        <v>1</v>
      </c>
      <c r="F5132" s="2">
        <v>1</v>
      </c>
      <c r="G5132" s="2">
        <v>1</v>
      </c>
      <c r="H5132" s="2">
        <v>1</v>
      </c>
    </row>
    <row r="5133" spans="1:8" x14ac:dyDescent="0.25">
      <c r="A5133" s="1" t="str">
        <f>"75150"</f>
        <v>75150</v>
      </c>
      <c r="B5133" s="1" t="str">
        <f t="shared" si="385"/>
        <v>19124</v>
      </c>
      <c r="C5133" s="1" t="str">
        <f>"MESQUITE"</f>
        <v>MESQUITE</v>
      </c>
      <c r="D5133" s="1" t="str">
        <f t="shared" si="384"/>
        <v>TX</v>
      </c>
      <c r="E5133" s="2">
        <v>1</v>
      </c>
      <c r="F5133" s="2">
        <v>1</v>
      </c>
      <c r="G5133" s="2">
        <v>1</v>
      </c>
      <c r="H5133" s="2">
        <v>1</v>
      </c>
    </row>
    <row r="5134" spans="1:8" x14ac:dyDescent="0.25">
      <c r="A5134" s="1" t="str">
        <f>"75160"</f>
        <v>75160</v>
      </c>
      <c r="B5134" s="1" t="str">
        <f t="shared" si="385"/>
        <v>19124</v>
      </c>
      <c r="C5134" s="1" t="str">
        <f>"TERRELL"</f>
        <v>TERRELL</v>
      </c>
      <c r="D5134" s="1" t="str">
        <f t="shared" si="384"/>
        <v>TX</v>
      </c>
      <c r="E5134" s="2">
        <v>1</v>
      </c>
      <c r="F5134" s="2">
        <v>1</v>
      </c>
      <c r="G5134" s="2">
        <v>1</v>
      </c>
      <c r="H5134" s="2">
        <v>1</v>
      </c>
    </row>
    <row r="5135" spans="1:8" x14ac:dyDescent="0.25">
      <c r="A5135" s="1" t="str">
        <f>"75165"</f>
        <v>75165</v>
      </c>
      <c r="B5135" s="1" t="str">
        <f t="shared" si="385"/>
        <v>19124</v>
      </c>
      <c r="C5135" s="1" t="str">
        <f>"WAXAHACHIE"</f>
        <v>WAXAHACHIE</v>
      </c>
      <c r="D5135" s="1" t="str">
        <f t="shared" si="384"/>
        <v>TX</v>
      </c>
      <c r="E5135" s="2">
        <v>1</v>
      </c>
      <c r="F5135" s="2">
        <v>1</v>
      </c>
      <c r="G5135" s="2">
        <v>1</v>
      </c>
      <c r="H5135" s="2">
        <v>1</v>
      </c>
    </row>
    <row r="5136" spans="1:8" x14ac:dyDescent="0.25">
      <c r="A5136" s="1" t="str">
        <f>"75201"</f>
        <v>75201</v>
      </c>
      <c r="B5136" s="1" t="str">
        <f t="shared" si="385"/>
        <v>19124</v>
      </c>
      <c r="C5136" s="1" t="str">
        <f>"DALLAS"</f>
        <v>DALLAS</v>
      </c>
      <c r="D5136" s="1" t="str">
        <f t="shared" si="384"/>
        <v>TX</v>
      </c>
      <c r="E5136" s="2">
        <v>1</v>
      </c>
      <c r="F5136" s="2">
        <v>1</v>
      </c>
      <c r="G5136" s="2">
        <v>1</v>
      </c>
      <c r="H5136" s="2">
        <v>1</v>
      </c>
    </row>
    <row r="5137" spans="1:8" x14ac:dyDescent="0.25">
      <c r="A5137" s="1" t="str">
        <f>"76060"</f>
        <v>76060</v>
      </c>
      <c r="B5137" s="1" t="str">
        <f>"23104"</f>
        <v>23104</v>
      </c>
      <c r="C5137" s="1" t="str">
        <f>"KENNEDALE"</f>
        <v>KENNEDALE</v>
      </c>
      <c r="D5137" s="1" t="str">
        <f t="shared" si="384"/>
        <v>TX</v>
      </c>
      <c r="E5137" s="2">
        <v>1</v>
      </c>
      <c r="F5137" s="2">
        <v>1</v>
      </c>
      <c r="G5137" s="2">
        <v>1</v>
      </c>
      <c r="H5137" s="2">
        <v>1</v>
      </c>
    </row>
    <row r="5138" spans="1:8" x14ac:dyDescent="0.25">
      <c r="A5138" s="1" t="str">
        <f>"90222"</f>
        <v>90222</v>
      </c>
      <c r="B5138" s="1" t="str">
        <f t="shared" ref="B5138:B5144" si="386">"31084"</f>
        <v>31084</v>
      </c>
      <c r="C5138" s="1" t="str">
        <f>"COMPTON"</f>
        <v>COMPTON</v>
      </c>
      <c r="D5138" s="1" t="str">
        <f t="shared" ref="D5138:D5153" si="387">"CA"</f>
        <v>CA</v>
      </c>
      <c r="E5138" s="2">
        <v>1</v>
      </c>
      <c r="F5138" s="2">
        <v>1</v>
      </c>
      <c r="G5138" s="2">
        <v>1</v>
      </c>
      <c r="H5138" s="2">
        <v>1</v>
      </c>
    </row>
    <row r="5139" spans="1:8" x14ac:dyDescent="0.25">
      <c r="A5139" s="1" t="str">
        <f>"90068"</f>
        <v>90068</v>
      </c>
      <c r="B5139" s="1" t="str">
        <f t="shared" si="386"/>
        <v>31084</v>
      </c>
      <c r="C5139" s="1" t="str">
        <f>"LOS ANGELES"</f>
        <v>LOS ANGELES</v>
      </c>
      <c r="D5139" s="1" t="str">
        <f t="shared" si="387"/>
        <v>CA</v>
      </c>
      <c r="E5139" s="2">
        <v>1</v>
      </c>
      <c r="F5139" s="2">
        <v>1</v>
      </c>
      <c r="G5139" s="2">
        <v>1</v>
      </c>
      <c r="H5139" s="2">
        <v>1</v>
      </c>
    </row>
    <row r="5140" spans="1:8" x14ac:dyDescent="0.25">
      <c r="A5140" s="1" t="str">
        <f>"90275"</f>
        <v>90275</v>
      </c>
      <c r="B5140" s="1" t="str">
        <f t="shared" si="386"/>
        <v>31084</v>
      </c>
      <c r="C5140" s="1" t="str">
        <f>"RANCHO PALOS VERDES"</f>
        <v>RANCHO PALOS VERDES</v>
      </c>
      <c r="D5140" s="1" t="str">
        <f t="shared" si="387"/>
        <v>CA</v>
      </c>
      <c r="E5140" s="2">
        <v>1</v>
      </c>
      <c r="F5140" s="2">
        <v>1</v>
      </c>
      <c r="G5140" s="2">
        <v>1</v>
      </c>
      <c r="H5140" s="2">
        <v>1</v>
      </c>
    </row>
    <row r="5141" spans="1:8" x14ac:dyDescent="0.25">
      <c r="A5141" s="1" t="str">
        <f>"90291"</f>
        <v>90291</v>
      </c>
      <c r="B5141" s="1" t="str">
        <f t="shared" si="386"/>
        <v>31084</v>
      </c>
      <c r="C5141" s="1" t="str">
        <f>"VENICE"</f>
        <v>VENICE</v>
      </c>
      <c r="D5141" s="1" t="str">
        <f t="shared" si="387"/>
        <v>CA</v>
      </c>
      <c r="E5141" s="2">
        <v>1</v>
      </c>
      <c r="F5141" s="2">
        <v>1</v>
      </c>
      <c r="G5141" s="2">
        <v>1</v>
      </c>
      <c r="H5141" s="2">
        <v>1</v>
      </c>
    </row>
    <row r="5142" spans="1:8" x14ac:dyDescent="0.25">
      <c r="A5142" s="1" t="str">
        <f>"90706"</f>
        <v>90706</v>
      </c>
      <c r="B5142" s="1" t="str">
        <f t="shared" si="386"/>
        <v>31084</v>
      </c>
      <c r="C5142" s="1" t="str">
        <f>"BELLFLOWER"</f>
        <v>BELLFLOWER</v>
      </c>
      <c r="D5142" s="1" t="str">
        <f t="shared" si="387"/>
        <v>CA</v>
      </c>
      <c r="E5142" s="2">
        <v>1</v>
      </c>
      <c r="F5142" s="2">
        <v>1</v>
      </c>
      <c r="G5142" s="2">
        <v>1</v>
      </c>
      <c r="H5142" s="2">
        <v>1</v>
      </c>
    </row>
    <row r="5143" spans="1:8" x14ac:dyDescent="0.25">
      <c r="A5143" s="1" t="str">
        <f>"90652"</f>
        <v>90652</v>
      </c>
      <c r="B5143" s="1" t="str">
        <f t="shared" si="386"/>
        <v>31084</v>
      </c>
      <c r="C5143" s="1" t="str">
        <f>"NORWALK"</f>
        <v>NORWALK</v>
      </c>
      <c r="D5143" s="1" t="str">
        <f t="shared" si="387"/>
        <v>CA</v>
      </c>
      <c r="E5143" s="2">
        <v>1</v>
      </c>
      <c r="F5143" s="2">
        <v>1</v>
      </c>
      <c r="G5143" s="2">
        <v>1</v>
      </c>
      <c r="H5143" s="2">
        <v>1</v>
      </c>
    </row>
    <row r="5144" spans="1:8" x14ac:dyDescent="0.25">
      <c r="A5144" s="1" t="str">
        <f>"91109"</f>
        <v>91109</v>
      </c>
      <c r="B5144" s="1" t="str">
        <f t="shared" si="386"/>
        <v>31084</v>
      </c>
      <c r="C5144" s="1" t="str">
        <f>"PASADENA"</f>
        <v>PASADENA</v>
      </c>
      <c r="D5144" s="1" t="str">
        <f t="shared" si="387"/>
        <v>CA</v>
      </c>
      <c r="E5144" s="2">
        <v>1</v>
      </c>
      <c r="F5144" s="2">
        <v>1</v>
      </c>
      <c r="G5144" s="2">
        <v>1</v>
      </c>
      <c r="H5144" s="2">
        <v>1</v>
      </c>
    </row>
    <row r="5145" spans="1:8" x14ac:dyDescent="0.25">
      <c r="A5145" s="1" t="str">
        <f>"92692"</f>
        <v>92692</v>
      </c>
      <c r="B5145" s="1" t="str">
        <f>"11244"</f>
        <v>11244</v>
      </c>
      <c r="C5145" s="1" t="str">
        <f>"MISSION VIEJO"</f>
        <v>MISSION VIEJO</v>
      </c>
      <c r="D5145" s="1" t="str">
        <f t="shared" si="387"/>
        <v>CA</v>
      </c>
      <c r="E5145" s="2">
        <v>1</v>
      </c>
      <c r="F5145" s="2">
        <v>1</v>
      </c>
      <c r="G5145" s="2">
        <v>1</v>
      </c>
      <c r="H5145" s="2">
        <v>1</v>
      </c>
    </row>
    <row r="5146" spans="1:8" x14ac:dyDescent="0.25">
      <c r="A5146" s="1" t="str">
        <f>"94005"</f>
        <v>94005</v>
      </c>
      <c r="B5146" s="1" t="str">
        <f>"41884"</f>
        <v>41884</v>
      </c>
      <c r="C5146" s="1" t="str">
        <f>"BRISBANE"</f>
        <v>BRISBANE</v>
      </c>
      <c r="D5146" s="1" t="str">
        <f t="shared" si="387"/>
        <v>CA</v>
      </c>
      <c r="E5146" s="2">
        <v>1</v>
      </c>
      <c r="F5146" s="2">
        <v>1</v>
      </c>
      <c r="G5146" s="2">
        <v>1</v>
      </c>
      <c r="H5146" s="2">
        <v>1</v>
      </c>
    </row>
    <row r="5147" spans="1:8" x14ac:dyDescent="0.25">
      <c r="A5147" s="1" t="str">
        <f>"92618"</f>
        <v>92618</v>
      </c>
      <c r="B5147" s="1" t="str">
        <f>"11244"</f>
        <v>11244</v>
      </c>
      <c r="C5147" s="1" t="str">
        <f>"IRVINE"</f>
        <v>IRVINE</v>
      </c>
      <c r="D5147" s="1" t="str">
        <f t="shared" si="387"/>
        <v>CA</v>
      </c>
      <c r="E5147" s="2">
        <v>1</v>
      </c>
      <c r="F5147" s="2">
        <v>1</v>
      </c>
      <c r="G5147" s="2">
        <v>1</v>
      </c>
      <c r="H5147" s="2">
        <v>1</v>
      </c>
    </row>
    <row r="5148" spans="1:8" x14ac:dyDescent="0.25">
      <c r="A5148" s="1" t="str">
        <f>"94513"</f>
        <v>94513</v>
      </c>
      <c r="B5148" s="1" t="str">
        <f>"36084"</f>
        <v>36084</v>
      </c>
      <c r="C5148" s="1" t="str">
        <f>"BRENTWOOD"</f>
        <v>BRENTWOOD</v>
      </c>
      <c r="D5148" s="1" t="str">
        <f t="shared" si="387"/>
        <v>CA</v>
      </c>
      <c r="E5148" s="2">
        <v>1</v>
      </c>
      <c r="F5148" s="2">
        <v>1</v>
      </c>
      <c r="G5148" s="2">
        <v>1</v>
      </c>
      <c r="H5148" s="2">
        <v>1</v>
      </c>
    </row>
    <row r="5149" spans="1:8" x14ac:dyDescent="0.25">
      <c r="A5149" s="1" t="str">
        <f>"94541"</f>
        <v>94541</v>
      </c>
      <c r="B5149" s="1" t="str">
        <f>"36084"</f>
        <v>36084</v>
      </c>
      <c r="C5149" s="1" t="str">
        <f>"HAYWARD"</f>
        <v>HAYWARD</v>
      </c>
      <c r="D5149" s="1" t="str">
        <f t="shared" si="387"/>
        <v>CA</v>
      </c>
      <c r="E5149" s="2">
        <v>1</v>
      </c>
      <c r="F5149" s="2">
        <v>1</v>
      </c>
      <c r="G5149" s="2">
        <v>1</v>
      </c>
      <c r="H5149" s="2">
        <v>1</v>
      </c>
    </row>
    <row r="5150" spans="1:8" x14ac:dyDescent="0.25">
      <c r="A5150" s="1" t="str">
        <f>"94957"</f>
        <v>94957</v>
      </c>
      <c r="B5150" s="1" t="str">
        <f>"42034"</f>
        <v>42034</v>
      </c>
      <c r="C5150" s="1" t="str">
        <f>"ROSS"</f>
        <v>ROSS</v>
      </c>
      <c r="D5150" s="1" t="str">
        <f t="shared" si="387"/>
        <v>CA</v>
      </c>
      <c r="E5150" s="2">
        <v>1</v>
      </c>
      <c r="F5150" s="2">
        <v>1</v>
      </c>
      <c r="G5150" s="2">
        <v>1</v>
      </c>
      <c r="H5150" s="2">
        <v>1</v>
      </c>
    </row>
    <row r="5151" spans="1:8" x14ac:dyDescent="0.25">
      <c r="A5151" s="1" t="str">
        <f>"94127"</f>
        <v>94127</v>
      </c>
      <c r="B5151" s="1" t="str">
        <f>"41884"</f>
        <v>41884</v>
      </c>
      <c r="C5151" s="1" t="str">
        <f>"SAN FRANCISCO"</f>
        <v>SAN FRANCISCO</v>
      </c>
      <c r="D5151" s="1" t="str">
        <f t="shared" si="387"/>
        <v>CA</v>
      </c>
      <c r="E5151" s="2">
        <v>1</v>
      </c>
      <c r="F5151" s="2">
        <v>1</v>
      </c>
      <c r="G5151" s="2">
        <v>1</v>
      </c>
      <c r="H5151" s="2">
        <v>1</v>
      </c>
    </row>
    <row r="5152" spans="1:8" x14ac:dyDescent="0.25">
      <c r="A5152" s="1" t="str">
        <f>"94939"</f>
        <v>94939</v>
      </c>
      <c r="B5152" s="1" t="str">
        <f>"42034"</f>
        <v>42034</v>
      </c>
      <c r="C5152" s="1" t="str">
        <f>"LARKSPUR"</f>
        <v>LARKSPUR</v>
      </c>
      <c r="D5152" s="1" t="str">
        <f t="shared" si="387"/>
        <v>CA</v>
      </c>
      <c r="E5152" s="2">
        <v>1</v>
      </c>
      <c r="F5152" s="2">
        <v>1</v>
      </c>
      <c r="G5152" s="2">
        <v>1</v>
      </c>
      <c r="H5152" s="2">
        <v>1</v>
      </c>
    </row>
    <row r="5153" spans="1:8" x14ac:dyDescent="0.25">
      <c r="A5153" s="1" t="str">
        <f>"94925"</f>
        <v>94925</v>
      </c>
      <c r="B5153" s="1" t="str">
        <f>"42034"</f>
        <v>42034</v>
      </c>
      <c r="C5153" s="1" t="str">
        <f>"CORTE MADERA"</f>
        <v>CORTE MADERA</v>
      </c>
      <c r="D5153" s="1" t="str">
        <f t="shared" si="387"/>
        <v>CA</v>
      </c>
      <c r="E5153" s="2">
        <v>1</v>
      </c>
      <c r="F5153" s="2">
        <v>1</v>
      </c>
      <c r="G5153" s="2">
        <v>1</v>
      </c>
      <c r="H5153" s="2">
        <v>1</v>
      </c>
    </row>
    <row r="5154" spans="1:8" x14ac:dyDescent="0.25">
      <c r="A5154" s="1" t="str">
        <f>"98020"</f>
        <v>98020</v>
      </c>
      <c r="B5154" s="1" t="str">
        <f>"42644"</f>
        <v>42644</v>
      </c>
      <c r="C5154" s="1" t="str">
        <f>"EDMONDS"</f>
        <v>EDMONDS</v>
      </c>
      <c r="D5154" s="1" t="str">
        <f t="shared" ref="D5154:D5160" si="388">"WA"</f>
        <v>WA</v>
      </c>
      <c r="E5154" s="2">
        <v>1</v>
      </c>
      <c r="F5154" s="2">
        <v>1</v>
      </c>
      <c r="G5154" s="2">
        <v>1</v>
      </c>
      <c r="H5154" s="2">
        <v>1</v>
      </c>
    </row>
    <row r="5155" spans="1:8" x14ac:dyDescent="0.25">
      <c r="A5155" s="1" t="str">
        <f>"98022"</f>
        <v>98022</v>
      </c>
      <c r="B5155" s="1" t="str">
        <f>"42644"</f>
        <v>42644</v>
      </c>
      <c r="C5155" s="1" t="str">
        <f>"ENUMCLAW"</f>
        <v>ENUMCLAW</v>
      </c>
      <c r="D5155" s="1" t="str">
        <f t="shared" si="388"/>
        <v>WA</v>
      </c>
      <c r="E5155" s="2">
        <v>0.95777011279947699</v>
      </c>
      <c r="F5155" s="2">
        <v>0.97061909758656795</v>
      </c>
      <c r="G5155" s="2">
        <v>0.94171779141104195</v>
      </c>
      <c r="H5155" s="2">
        <v>0.95835415625520504</v>
      </c>
    </row>
    <row r="5156" spans="1:8" x14ac:dyDescent="0.25">
      <c r="A5156" s="1" t="str">
        <f>"98022"</f>
        <v>98022</v>
      </c>
      <c r="B5156" s="1" t="str">
        <f>"45104"</f>
        <v>45104</v>
      </c>
      <c r="C5156" s="1" t="str">
        <f>"ENUMCLAW"</f>
        <v>ENUMCLAW</v>
      </c>
      <c r="D5156" s="1" t="str">
        <f t="shared" si="388"/>
        <v>WA</v>
      </c>
      <c r="E5156" s="2">
        <v>4.2229887200522002E-2</v>
      </c>
      <c r="F5156" s="2">
        <v>2.9380902413431199E-2</v>
      </c>
      <c r="G5156" s="2">
        <v>5.8282208588957003E-2</v>
      </c>
      <c r="H5156" s="2">
        <v>4.16458437447942E-2</v>
      </c>
    </row>
    <row r="5157" spans="1:8" x14ac:dyDescent="0.25">
      <c r="A5157" s="1" t="str">
        <f>"98046"</f>
        <v>98046</v>
      </c>
      <c r="B5157" s="1" t="str">
        <f>"42644"</f>
        <v>42644</v>
      </c>
      <c r="C5157" s="1" t="str">
        <f>"LYNNWOOD"</f>
        <v>LYNNWOOD</v>
      </c>
      <c r="D5157" s="1" t="str">
        <f t="shared" si="388"/>
        <v>WA</v>
      </c>
      <c r="E5157" s="2">
        <v>1</v>
      </c>
      <c r="F5157" s="2">
        <v>1</v>
      </c>
      <c r="G5157" s="2">
        <v>1</v>
      </c>
      <c r="H5157" s="2">
        <v>1</v>
      </c>
    </row>
    <row r="5158" spans="1:8" x14ac:dyDescent="0.25">
      <c r="A5158" s="1" t="str">
        <f>"98125"</f>
        <v>98125</v>
      </c>
      <c r="B5158" s="1" t="str">
        <f>"42644"</f>
        <v>42644</v>
      </c>
      <c r="C5158" s="1" t="str">
        <f>"SEATTLE"</f>
        <v>SEATTLE</v>
      </c>
      <c r="D5158" s="1" t="str">
        <f t="shared" si="388"/>
        <v>WA</v>
      </c>
      <c r="E5158" s="2">
        <v>1</v>
      </c>
      <c r="F5158" s="2">
        <v>1</v>
      </c>
      <c r="G5158" s="2">
        <v>1</v>
      </c>
      <c r="H5158" s="2">
        <v>1</v>
      </c>
    </row>
    <row r="5159" spans="1:8" x14ac:dyDescent="0.25">
      <c r="A5159" s="1" t="str">
        <f>"98108"</f>
        <v>98108</v>
      </c>
      <c r="B5159" s="1" t="str">
        <f>"42644"</f>
        <v>42644</v>
      </c>
      <c r="C5159" s="1" t="str">
        <f>"SEATTLE"</f>
        <v>SEATTLE</v>
      </c>
      <c r="D5159" s="1" t="str">
        <f t="shared" si="388"/>
        <v>WA</v>
      </c>
      <c r="E5159" s="2">
        <v>1</v>
      </c>
      <c r="F5159" s="2">
        <v>1</v>
      </c>
      <c r="G5159" s="2">
        <v>1</v>
      </c>
      <c r="H5159" s="2">
        <v>1</v>
      </c>
    </row>
    <row r="5160" spans="1:8" x14ac:dyDescent="0.25">
      <c r="A5160" s="1" t="str">
        <f>"98465"</f>
        <v>98465</v>
      </c>
      <c r="B5160" s="1" t="str">
        <f>"45104"</f>
        <v>45104</v>
      </c>
      <c r="C5160" s="1" t="str">
        <f>"TACOMA"</f>
        <v>TACOMA</v>
      </c>
      <c r="D5160" s="1" t="str">
        <f t="shared" si="388"/>
        <v>WA</v>
      </c>
      <c r="E5160" s="2">
        <v>1</v>
      </c>
      <c r="F5160" s="2">
        <v>1</v>
      </c>
      <c r="G5160" s="2">
        <v>1</v>
      </c>
      <c r="H5160" s="2">
        <v>1</v>
      </c>
    </row>
    <row r="5161" spans="1:8" x14ac:dyDescent="0.25">
      <c r="A5161" s="1" t="str">
        <f>"10111"</f>
        <v>10111</v>
      </c>
      <c r="B5161" s="1" t="str">
        <f>"35614"</f>
        <v>35614</v>
      </c>
      <c r="C5161" s="1" t="str">
        <f>"NEW YORK"</f>
        <v>NEW YORK</v>
      </c>
      <c r="D5161" s="1" t="str">
        <f>"NY"</f>
        <v>NY</v>
      </c>
      <c r="E5161" s="2">
        <v>0</v>
      </c>
      <c r="F5161" s="2">
        <v>1</v>
      </c>
      <c r="G5161" s="2">
        <v>1</v>
      </c>
      <c r="H5161" s="2">
        <v>1</v>
      </c>
    </row>
    <row r="5162" spans="1:8" x14ac:dyDescent="0.25">
      <c r="A5162" s="1" t="str">
        <f>"10976"</f>
        <v>10976</v>
      </c>
      <c r="B5162" s="1" t="str">
        <f>"35614"</f>
        <v>35614</v>
      </c>
      <c r="C5162" s="1" t="str">
        <f>"SPARKILL"</f>
        <v>SPARKILL</v>
      </c>
      <c r="D5162" s="1" t="str">
        <f>"NY"</f>
        <v>NY</v>
      </c>
      <c r="E5162" s="2">
        <v>1</v>
      </c>
      <c r="F5162" s="2">
        <v>1</v>
      </c>
      <c r="G5162" s="2">
        <v>1</v>
      </c>
      <c r="H5162" s="2">
        <v>1</v>
      </c>
    </row>
    <row r="5163" spans="1:8" x14ac:dyDescent="0.25">
      <c r="A5163" s="1" t="str">
        <f>"19029"</f>
        <v>19029</v>
      </c>
      <c r="B5163" s="1" t="str">
        <f>"37964"</f>
        <v>37964</v>
      </c>
      <c r="C5163" s="1" t="str">
        <f>"ESSINGTON"</f>
        <v>ESSINGTON</v>
      </c>
      <c r="D5163" s="1" t="str">
        <f>"PA"</f>
        <v>PA</v>
      </c>
      <c r="E5163" s="2">
        <v>1</v>
      </c>
      <c r="F5163" s="2">
        <v>1</v>
      </c>
      <c r="G5163" s="2">
        <v>1</v>
      </c>
      <c r="H5163" s="2">
        <v>1</v>
      </c>
    </row>
    <row r="5164" spans="1:8" x14ac:dyDescent="0.25">
      <c r="A5164" s="1" t="str">
        <f>"20861"</f>
        <v>20861</v>
      </c>
      <c r="B5164" s="1" t="str">
        <f>"23224"</f>
        <v>23224</v>
      </c>
      <c r="C5164" s="1" t="str">
        <f>"ASHTON"</f>
        <v>ASHTON</v>
      </c>
      <c r="D5164" s="1" t="str">
        <f>"MD"</f>
        <v>MD</v>
      </c>
      <c r="E5164" s="2">
        <v>1</v>
      </c>
      <c r="F5164" s="2">
        <v>1</v>
      </c>
      <c r="G5164" s="2">
        <v>1</v>
      </c>
      <c r="H5164" s="2">
        <v>1</v>
      </c>
    </row>
    <row r="5165" spans="1:8" x14ac:dyDescent="0.25">
      <c r="A5165" s="1" t="str">
        <f>"21914"</f>
        <v>21914</v>
      </c>
      <c r="B5165" s="1" t="str">
        <f>"48864"</f>
        <v>48864</v>
      </c>
      <c r="C5165" s="1" t="str">
        <f>"CHARLESTOWN"</f>
        <v>CHARLESTOWN</v>
      </c>
      <c r="D5165" s="1" t="str">
        <f>"MD"</f>
        <v>MD</v>
      </c>
      <c r="E5165" s="2">
        <v>1</v>
      </c>
      <c r="F5165" s="2">
        <v>1</v>
      </c>
      <c r="G5165" s="2">
        <v>1</v>
      </c>
      <c r="H5165" s="2">
        <v>1</v>
      </c>
    </row>
    <row r="5166" spans="1:8" x14ac:dyDescent="0.25">
      <c r="A5166" s="1" t="str">
        <f>"90030"</f>
        <v>90030</v>
      </c>
      <c r="B5166" s="1" t="str">
        <f>"31084"</f>
        <v>31084</v>
      </c>
      <c r="C5166" s="1" t="str">
        <f>"LOS ANGELES"</f>
        <v>LOS ANGELES</v>
      </c>
      <c r="D5166" s="1" t="str">
        <f>"CA"</f>
        <v>CA</v>
      </c>
      <c r="E5166" s="2">
        <v>1</v>
      </c>
      <c r="F5166" s="2">
        <v>1</v>
      </c>
      <c r="G5166" s="2">
        <v>1</v>
      </c>
      <c r="H5166" s="2">
        <v>1</v>
      </c>
    </row>
    <row r="5167" spans="1:8" x14ac:dyDescent="0.25">
      <c r="A5167" s="1" t="str">
        <f>"90633"</f>
        <v>90633</v>
      </c>
      <c r="B5167" s="1" t="str">
        <f>"11244"</f>
        <v>11244</v>
      </c>
      <c r="C5167" s="1" t="str">
        <f>"LA HABRA"</f>
        <v>LA HABRA</v>
      </c>
      <c r="D5167" s="1" t="str">
        <f>"CA"</f>
        <v>CA</v>
      </c>
      <c r="E5167" s="2">
        <v>1</v>
      </c>
      <c r="F5167" s="2">
        <v>1</v>
      </c>
      <c r="G5167" s="2">
        <v>1</v>
      </c>
      <c r="H5167" s="2">
        <v>1</v>
      </c>
    </row>
    <row r="5168" spans="1:8" x14ac:dyDescent="0.25">
      <c r="A5168" s="1" t="str">
        <f>"98401"</f>
        <v>98401</v>
      </c>
      <c r="B5168" s="1" t="str">
        <f>"45104"</f>
        <v>45104</v>
      </c>
      <c r="C5168" s="1" t="str">
        <f>"TACOMA"</f>
        <v>TACOMA</v>
      </c>
      <c r="D5168" s="1" t="str">
        <f>"WA"</f>
        <v>WA</v>
      </c>
      <c r="E5168" s="2">
        <v>1</v>
      </c>
      <c r="F5168" s="2">
        <v>1</v>
      </c>
      <c r="G5168" s="2">
        <v>1</v>
      </c>
      <c r="H5168" s="2">
        <v>1</v>
      </c>
    </row>
    <row r="5169" spans="1:8" x14ac:dyDescent="0.25">
      <c r="A5169" s="1" t="str">
        <f>"98113"</f>
        <v>98113</v>
      </c>
      <c r="B5169" s="1" t="str">
        <f>"42644"</f>
        <v>42644</v>
      </c>
      <c r="C5169" s="1" t="str">
        <f>"SEATTLE"</f>
        <v>SEATTLE</v>
      </c>
      <c r="D5169" s="1" t="str">
        <f>"WA"</f>
        <v>WA</v>
      </c>
      <c r="E5169" s="2">
        <v>1</v>
      </c>
      <c r="F5169" s="2">
        <v>1</v>
      </c>
      <c r="G5169" s="2">
        <v>1</v>
      </c>
      <c r="H5169" s="2">
        <v>1</v>
      </c>
    </row>
    <row r="5170" spans="1:8" x14ac:dyDescent="0.25">
      <c r="A5170" s="1" t="str">
        <f>"02222"</f>
        <v>02222</v>
      </c>
      <c r="B5170" s="1" t="str">
        <f>"14454"</f>
        <v>14454</v>
      </c>
      <c r="C5170" s="1" t="str">
        <f>"BOSTON"</f>
        <v>BOSTON</v>
      </c>
      <c r="D5170" s="1" t="str">
        <f>"MA"</f>
        <v>MA</v>
      </c>
      <c r="E5170" s="2">
        <v>0</v>
      </c>
      <c r="F5170" s="2">
        <v>1</v>
      </c>
      <c r="G5170" s="2">
        <v>1</v>
      </c>
      <c r="H5170" s="2">
        <v>1</v>
      </c>
    </row>
    <row r="5171" spans="1:8" x14ac:dyDescent="0.25">
      <c r="A5171" s="1" t="str">
        <f>"20604"</f>
        <v>20604</v>
      </c>
      <c r="B5171" s="1" t="str">
        <f>"47894"</f>
        <v>47894</v>
      </c>
      <c r="C5171" s="1" t="str">
        <f>"WALDORF"</f>
        <v>WALDORF</v>
      </c>
      <c r="D5171" s="1" t="str">
        <f>"MD"</f>
        <v>MD</v>
      </c>
      <c r="E5171" s="2">
        <v>1</v>
      </c>
      <c r="F5171" s="2">
        <v>1</v>
      </c>
      <c r="G5171" s="2">
        <v>1</v>
      </c>
      <c r="H5171" s="2">
        <v>1</v>
      </c>
    </row>
    <row r="5172" spans="1:8" x14ac:dyDescent="0.25">
      <c r="A5172" s="1" t="str">
        <f>"20757"</f>
        <v>20757</v>
      </c>
      <c r="B5172" s="1" t="str">
        <f>"47894"</f>
        <v>47894</v>
      </c>
      <c r="C5172" s="1" t="str">
        <f>"TEMPLE HILLS"</f>
        <v>TEMPLE HILLS</v>
      </c>
      <c r="D5172" s="1" t="str">
        <f>"MD"</f>
        <v>MD</v>
      </c>
      <c r="E5172" s="2">
        <v>1</v>
      </c>
      <c r="F5172" s="2">
        <v>1</v>
      </c>
      <c r="G5172" s="2">
        <v>1</v>
      </c>
      <c r="H5172" s="2">
        <v>1</v>
      </c>
    </row>
    <row r="5173" spans="1:8" x14ac:dyDescent="0.25">
      <c r="A5173" s="1" t="str">
        <f>"75374"</f>
        <v>75374</v>
      </c>
      <c r="B5173" s="1" t="str">
        <f>"19124"</f>
        <v>19124</v>
      </c>
      <c r="C5173" s="1" t="str">
        <f>"DALLAS"</f>
        <v>DALLAS</v>
      </c>
      <c r="D5173" s="1" t="str">
        <f>"TX"</f>
        <v>TX</v>
      </c>
      <c r="E5173" s="2">
        <v>1</v>
      </c>
      <c r="F5173" s="2">
        <v>1</v>
      </c>
      <c r="G5173" s="2">
        <v>1</v>
      </c>
      <c r="H5173" s="2">
        <v>1</v>
      </c>
    </row>
    <row r="5174" spans="1:8" x14ac:dyDescent="0.25">
      <c r="A5174" s="1" t="str">
        <f>"75016"</f>
        <v>75016</v>
      </c>
      <c r="B5174" s="1" t="str">
        <f>"19124"</f>
        <v>19124</v>
      </c>
      <c r="C5174" s="1" t="str">
        <f>"IRVING"</f>
        <v>IRVING</v>
      </c>
      <c r="D5174" s="1" t="str">
        <f>"TX"</f>
        <v>TX</v>
      </c>
      <c r="E5174" s="2">
        <v>1</v>
      </c>
      <c r="F5174" s="2">
        <v>1</v>
      </c>
      <c r="G5174" s="2">
        <v>1</v>
      </c>
      <c r="H5174" s="2">
        <v>1</v>
      </c>
    </row>
    <row r="5175" spans="1:8" x14ac:dyDescent="0.25">
      <c r="A5175" s="1" t="str">
        <f>"90082"</f>
        <v>90082</v>
      </c>
      <c r="B5175" s="1" t="str">
        <f>"31084"</f>
        <v>31084</v>
      </c>
      <c r="C5175" s="1" t="str">
        <f>"LOS ANGELES"</f>
        <v>LOS ANGELES</v>
      </c>
      <c r="D5175" s="1" t="str">
        <f>"CA"</f>
        <v>CA</v>
      </c>
      <c r="E5175" s="2">
        <v>1</v>
      </c>
      <c r="F5175" s="2">
        <v>1</v>
      </c>
      <c r="G5175" s="2">
        <v>1</v>
      </c>
      <c r="H5175" s="2">
        <v>1</v>
      </c>
    </row>
    <row r="5176" spans="1:8" x14ac:dyDescent="0.25">
      <c r="A5176" s="1" t="str">
        <f>"94147"</f>
        <v>94147</v>
      </c>
      <c r="B5176" s="1" t="str">
        <f>"41884"</f>
        <v>41884</v>
      </c>
      <c r="C5176" s="1" t="str">
        <f>"SAN FRANCISCO"</f>
        <v>SAN FRANCISCO</v>
      </c>
      <c r="D5176" s="1" t="str">
        <f>"CA"</f>
        <v>CA</v>
      </c>
      <c r="E5176" s="2">
        <v>1</v>
      </c>
      <c r="F5176" s="2">
        <v>1</v>
      </c>
      <c r="G5176" s="2">
        <v>1</v>
      </c>
      <c r="H5176" s="2">
        <v>1</v>
      </c>
    </row>
    <row r="5177" spans="1:8" x14ac:dyDescent="0.25">
      <c r="A5177" s="1" t="str">
        <f>"94912"</f>
        <v>94912</v>
      </c>
      <c r="B5177" s="1" t="str">
        <f>"42034"</f>
        <v>42034</v>
      </c>
      <c r="C5177" s="1" t="str">
        <f>"SAN RAFAEL"</f>
        <v>SAN RAFAEL</v>
      </c>
      <c r="D5177" s="1" t="str">
        <f>"CA"</f>
        <v>CA</v>
      </c>
      <c r="E5177" s="2">
        <v>1</v>
      </c>
      <c r="F5177" s="2">
        <v>1</v>
      </c>
      <c r="G5177" s="2">
        <v>1</v>
      </c>
      <c r="H5177" s="2">
        <v>1</v>
      </c>
    </row>
    <row r="5178" spans="1:8" x14ac:dyDescent="0.25">
      <c r="A5178" s="1" t="str">
        <f>"03823"</f>
        <v>03823</v>
      </c>
      <c r="B5178" s="1" t="str">
        <f>"40484"</f>
        <v>40484</v>
      </c>
      <c r="C5178" s="1" t="str">
        <f>"MADBURY"</f>
        <v>MADBURY</v>
      </c>
      <c r="D5178" s="1" t="str">
        <f>"NH"</f>
        <v>NH</v>
      </c>
      <c r="E5178" s="2">
        <v>1</v>
      </c>
      <c r="F5178" s="2">
        <v>1</v>
      </c>
      <c r="G5178" s="2">
        <v>1</v>
      </c>
      <c r="H5178" s="2">
        <v>1</v>
      </c>
    </row>
    <row r="5179" spans="1:8" x14ac:dyDescent="0.25">
      <c r="A5179" s="1" t="str">
        <f>"61360"</f>
        <v>61360</v>
      </c>
      <c r="B5179" s="1" t="str">
        <f>"16984"</f>
        <v>16984</v>
      </c>
      <c r="C5179" s="1" t="str">
        <f>"SENECA"</f>
        <v>SENECA</v>
      </c>
      <c r="D5179" s="1" t="str">
        <f>"IL"</f>
        <v>IL</v>
      </c>
      <c r="E5179" s="2">
        <v>1</v>
      </c>
      <c r="F5179" s="2">
        <v>0</v>
      </c>
      <c r="G5179" s="2">
        <v>0</v>
      </c>
      <c r="H5179" s="2">
        <v>1</v>
      </c>
    </row>
    <row r="5180" spans="1:8" x14ac:dyDescent="0.25">
      <c r="A5180" s="1" t="str">
        <f>"20059"</f>
        <v>20059</v>
      </c>
      <c r="B5180" s="1" t="str">
        <f>"47894"</f>
        <v>47894</v>
      </c>
      <c r="C5180" s="1" t="str">
        <f>"WASHINGTON"</f>
        <v>WASHINGTON</v>
      </c>
      <c r="D5180" s="1" t="str">
        <f>"DC"</f>
        <v>DC</v>
      </c>
      <c r="E5180" s="2">
        <v>0</v>
      </c>
      <c r="F5180" s="2">
        <v>1</v>
      </c>
      <c r="G5180" s="2">
        <v>0</v>
      </c>
      <c r="H5180" s="2">
        <v>1</v>
      </c>
    </row>
    <row r="5181" spans="1:8" x14ac:dyDescent="0.25">
      <c r="A5181" s="1" t="str">
        <f>"90662"</f>
        <v>90662</v>
      </c>
      <c r="B5181" s="1" t="str">
        <f>"31084"</f>
        <v>31084</v>
      </c>
      <c r="C5181" s="1" t="str">
        <f>"PICO RIVERA"</f>
        <v>PICO RIVERA</v>
      </c>
      <c r="D5181" s="1" t="str">
        <f>"CA"</f>
        <v>CA</v>
      </c>
      <c r="E5181" s="2">
        <v>1</v>
      </c>
      <c r="F5181" s="2">
        <v>1</v>
      </c>
      <c r="G5181" s="2">
        <v>1</v>
      </c>
      <c r="H5181" s="2">
        <v>1</v>
      </c>
    </row>
    <row r="5182" spans="1:8" x14ac:dyDescent="0.25">
      <c r="A5182" s="1" t="str">
        <f>"07851"</f>
        <v>07851</v>
      </c>
      <c r="B5182" s="1" t="str">
        <f>"35084"</f>
        <v>35084</v>
      </c>
      <c r="C5182" s="1" t="str">
        <f>"LAYTON"</f>
        <v>LAYTON</v>
      </c>
      <c r="D5182" s="1" t="str">
        <f>"NJ"</f>
        <v>NJ</v>
      </c>
      <c r="E5182" s="2">
        <v>1</v>
      </c>
      <c r="F5182" s="2">
        <v>1</v>
      </c>
      <c r="G5182" s="2">
        <v>1</v>
      </c>
      <c r="H5182" s="2">
        <v>1</v>
      </c>
    </row>
    <row r="5183" spans="1:8" x14ac:dyDescent="0.25">
      <c r="A5183" s="1" t="str">
        <f>"10120"</f>
        <v>10120</v>
      </c>
      <c r="B5183" s="1" t="str">
        <f>"35614"</f>
        <v>35614</v>
      </c>
      <c r="C5183" s="1" t="str">
        <f>"NEW YORK"</f>
        <v>NEW YORK</v>
      </c>
      <c r="D5183" s="1" t="str">
        <f>"NY"</f>
        <v>NY</v>
      </c>
      <c r="E5183" s="2">
        <v>0</v>
      </c>
      <c r="F5183" s="2">
        <v>1</v>
      </c>
      <c r="G5183" s="2">
        <v>1</v>
      </c>
      <c r="H5183" s="2">
        <v>1</v>
      </c>
    </row>
    <row r="5184" spans="1:8" x14ac:dyDescent="0.25">
      <c r="A5184" s="1" t="str">
        <f>"10169"</f>
        <v>10169</v>
      </c>
      <c r="B5184" s="1" t="str">
        <f>"35614"</f>
        <v>35614</v>
      </c>
      <c r="C5184" s="1" t="str">
        <f>"NEW YORK"</f>
        <v>NEW YORK</v>
      </c>
      <c r="D5184" s="1" t="str">
        <f>"NY"</f>
        <v>NY</v>
      </c>
      <c r="E5184" s="2">
        <v>0</v>
      </c>
      <c r="F5184" s="2">
        <v>1</v>
      </c>
      <c r="G5184" s="2">
        <v>1</v>
      </c>
      <c r="H5184" s="2">
        <v>1</v>
      </c>
    </row>
    <row r="5185" spans="1:8" x14ac:dyDescent="0.25">
      <c r="A5185" s="1" t="str">
        <f>"02331"</f>
        <v>02331</v>
      </c>
      <c r="B5185" s="1" t="str">
        <f>"14454"</f>
        <v>14454</v>
      </c>
      <c r="C5185" s="1" t="str">
        <f>"DUXBURY"</f>
        <v>DUXBURY</v>
      </c>
      <c r="D5185" s="1" t="str">
        <f>"MA"</f>
        <v>MA</v>
      </c>
      <c r="E5185" s="2">
        <v>1</v>
      </c>
      <c r="F5185" s="2">
        <v>1</v>
      </c>
      <c r="G5185" s="2">
        <v>1</v>
      </c>
      <c r="H5185" s="2">
        <v>1</v>
      </c>
    </row>
    <row r="5186" spans="1:8" x14ac:dyDescent="0.25">
      <c r="A5186" s="1" t="str">
        <f>"48423"</f>
        <v>48423</v>
      </c>
      <c r="B5186" s="1" t="str">
        <f>"47664"</f>
        <v>47664</v>
      </c>
      <c r="C5186" s="1" t="str">
        <f>"DAVISON"</f>
        <v>DAVISON</v>
      </c>
      <c r="D5186" s="1" t="str">
        <f>"MI"</f>
        <v>MI</v>
      </c>
      <c r="E5186" s="2">
        <v>1</v>
      </c>
      <c r="F5186" s="2">
        <v>0</v>
      </c>
      <c r="G5186" s="2">
        <v>0</v>
      </c>
      <c r="H5186" s="2">
        <v>1</v>
      </c>
    </row>
    <row r="5187" spans="1:8" x14ac:dyDescent="0.25">
      <c r="A5187" s="1" t="str">
        <f>"20520"</f>
        <v>20520</v>
      </c>
      <c r="B5187" s="1" t="str">
        <f>"47894"</f>
        <v>47894</v>
      </c>
      <c r="C5187" s="1" t="str">
        <f>"WASHINGTON"</f>
        <v>WASHINGTON</v>
      </c>
      <c r="D5187" s="1" t="str">
        <f>"DC"</f>
        <v>DC</v>
      </c>
      <c r="E5187" s="2">
        <v>0</v>
      </c>
      <c r="F5187" s="2">
        <v>1</v>
      </c>
      <c r="G5187" s="2">
        <v>1</v>
      </c>
      <c r="H5187" s="2">
        <v>1</v>
      </c>
    </row>
    <row r="5188" spans="1:8" x14ac:dyDescent="0.25">
      <c r="A5188" s="1" t="str">
        <f>"94620"</f>
        <v>94620</v>
      </c>
      <c r="B5188" s="1" t="str">
        <f>"36084"</f>
        <v>36084</v>
      </c>
      <c r="C5188" s="1" t="str">
        <f>"PIEDMONT"</f>
        <v>PIEDMONT</v>
      </c>
      <c r="D5188" s="1" t="str">
        <f>"CA"</f>
        <v>CA</v>
      </c>
      <c r="E5188" s="2">
        <v>1</v>
      </c>
      <c r="F5188" s="2">
        <v>1</v>
      </c>
      <c r="G5188" s="2">
        <v>1</v>
      </c>
      <c r="H5188" s="2">
        <v>1</v>
      </c>
    </row>
    <row r="5189" spans="1:8" x14ac:dyDescent="0.25">
      <c r="A5189" s="1" t="str">
        <f>"60086"</f>
        <v>60086</v>
      </c>
      <c r="B5189" s="1" t="str">
        <f>"29404"</f>
        <v>29404</v>
      </c>
      <c r="C5189" s="1" t="str">
        <f>"NORTH CHICAGO"</f>
        <v>NORTH CHICAGO</v>
      </c>
      <c r="D5189" s="1" t="str">
        <f>"IL"</f>
        <v>IL</v>
      </c>
      <c r="E5189" s="2">
        <v>0</v>
      </c>
      <c r="F5189" s="2">
        <v>1</v>
      </c>
      <c r="G5189" s="2">
        <v>0</v>
      </c>
      <c r="H5189" s="2">
        <v>1</v>
      </c>
    </row>
    <row r="5190" spans="1:8" x14ac:dyDescent="0.25">
      <c r="A5190" s="1" t="str">
        <f>"20883"</f>
        <v>20883</v>
      </c>
      <c r="B5190" s="1" t="str">
        <f>"23224"</f>
        <v>23224</v>
      </c>
      <c r="C5190" s="1" t="str">
        <f>"GAITHERSBURG"</f>
        <v>GAITHERSBURG</v>
      </c>
      <c r="D5190" s="1" t="str">
        <f>"MD"</f>
        <v>MD</v>
      </c>
      <c r="E5190" s="2">
        <v>1</v>
      </c>
      <c r="F5190" s="2">
        <v>1</v>
      </c>
      <c r="G5190" s="2">
        <v>1</v>
      </c>
      <c r="H5190" s="2">
        <v>1</v>
      </c>
    </row>
    <row r="5191" spans="1:8" x14ac:dyDescent="0.25">
      <c r="A5191" s="1" t="str">
        <f>"91709"</f>
        <v>91709</v>
      </c>
      <c r="B5191" s="1" t="str">
        <f>"31084"</f>
        <v>31084</v>
      </c>
      <c r="C5191" s="1" t="str">
        <f>"CHINO HILLS"</f>
        <v>CHINO HILLS</v>
      </c>
      <c r="D5191" s="1" t="str">
        <f>"CA"</f>
        <v>CA</v>
      </c>
      <c r="E5191" s="2">
        <v>1</v>
      </c>
      <c r="F5191" s="2">
        <v>0</v>
      </c>
      <c r="G5191" s="2">
        <v>0</v>
      </c>
      <c r="H5191" s="2">
        <v>1</v>
      </c>
    </row>
    <row r="5192" spans="1:8" x14ac:dyDescent="0.25">
      <c r="A5192" s="1" t="str">
        <f>"20260"</f>
        <v>20260</v>
      </c>
      <c r="B5192" s="1" t="str">
        <f>"47894"</f>
        <v>47894</v>
      </c>
      <c r="C5192" s="1" t="str">
        <f>"WASHINGTON"</f>
        <v>WASHINGTON</v>
      </c>
      <c r="D5192" s="1" t="str">
        <f>"DC"</f>
        <v>DC</v>
      </c>
      <c r="E5192" s="2">
        <v>0</v>
      </c>
      <c r="F5192" s="2">
        <v>1</v>
      </c>
      <c r="G5192" s="2">
        <v>1</v>
      </c>
      <c r="H5192" s="2">
        <v>1</v>
      </c>
    </row>
    <row r="5193" spans="1:8" x14ac:dyDescent="0.25">
      <c r="A5193" s="1" t="str">
        <f>"21759"</f>
        <v>21759</v>
      </c>
      <c r="B5193" s="1" t="str">
        <f>"23224"</f>
        <v>23224</v>
      </c>
      <c r="C5193" s="1" t="str">
        <f>"LADIESBURG"</f>
        <v>LADIESBURG</v>
      </c>
      <c r="D5193" s="1" t="str">
        <f>"MD"</f>
        <v>MD</v>
      </c>
      <c r="E5193" s="2">
        <v>0</v>
      </c>
      <c r="F5193" s="2">
        <v>1</v>
      </c>
      <c r="G5193" s="2">
        <v>0</v>
      </c>
      <c r="H5193" s="2">
        <v>1</v>
      </c>
    </row>
    <row r="5194" spans="1:8" x14ac:dyDescent="0.25">
      <c r="A5194" s="1" t="str">
        <f>"19360"</f>
        <v>19360</v>
      </c>
      <c r="B5194" s="1" t="str">
        <f>"33874"</f>
        <v>33874</v>
      </c>
      <c r="C5194" s="1" t="str">
        <f>"NEW LONDON"</f>
        <v>NEW LONDON</v>
      </c>
      <c r="D5194" s="1" t="str">
        <f>"PA"</f>
        <v>PA</v>
      </c>
      <c r="E5194" s="2">
        <v>0</v>
      </c>
      <c r="F5194" s="2">
        <v>1</v>
      </c>
      <c r="G5194" s="2">
        <v>0</v>
      </c>
      <c r="H5194" s="2">
        <v>1</v>
      </c>
    </row>
    <row r="5195" spans="1:8" x14ac:dyDescent="0.25">
      <c r="A5195" s="1" t="str">
        <f>"20460"</f>
        <v>20460</v>
      </c>
      <c r="B5195" s="1" t="str">
        <f>"47894"</f>
        <v>47894</v>
      </c>
      <c r="C5195" s="1" t="str">
        <f>"WASHINGTON"</f>
        <v>WASHINGTON</v>
      </c>
      <c r="D5195" s="1" t="str">
        <f>"DC"</f>
        <v>DC</v>
      </c>
      <c r="E5195" s="2">
        <v>0</v>
      </c>
      <c r="F5195" s="2">
        <v>1</v>
      </c>
      <c r="G5195" s="2">
        <v>1</v>
      </c>
      <c r="H5195" s="2">
        <v>1</v>
      </c>
    </row>
    <row r="5196" spans="1:8" x14ac:dyDescent="0.25">
      <c r="A5196" s="1" t="str">
        <f>"75156"</f>
        <v>75156</v>
      </c>
      <c r="B5196" s="1" t="str">
        <f>"19124"</f>
        <v>19124</v>
      </c>
      <c r="C5196" s="1" t="str">
        <f>"MABANK"</f>
        <v>MABANK</v>
      </c>
      <c r="D5196" s="1" t="str">
        <f>"TX"</f>
        <v>TX</v>
      </c>
      <c r="E5196" s="2">
        <v>1</v>
      </c>
      <c r="F5196" s="2">
        <v>0</v>
      </c>
      <c r="G5196" s="2">
        <v>0</v>
      </c>
      <c r="H5196" s="2">
        <v>1</v>
      </c>
    </row>
    <row r="5197" spans="1:8" x14ac:dyDescent="0.25">
      <c r="A5197" s="1" t="str">
        <f>"08560"</f>
        <v>08560</v>
      </c>
      <c r="B5197" s="1" t="str">
        <f>"35084"</f>
        <v>35084</v>
      </c>
      <c r="C5197" s="1" t="str">
        <f>"TITUSVILLE"</f>
        <v>TITUSVILLE</v>
      </c>
      <c r="D5197" s="1" t="str">
        <f>"NJ"</f>
        <v>NJ</v>
      </c>
      <c r="E5197" s="2">
        <v>1</v>
      </c>
      <c r="F5197" s="2">
        <v>0</v>
      </c>
      <c r="G5197" s="2">
        <v>0</v>
      </c>
      <c r="H5197" s="2">
        <v>1</v>
      </c>
    </row>
    <row r="5198" spans="1:8" x14ac:dyDescent="0.25">
      <c r="A5198" s="1" t="str">
        <f>"08018"</f>
        <v>08018</v>
      </c>
      <c r="B5198" s="1" t="str">
        <f>"15804"</f>
        <v>15804</v>
      </c>
      <c r="C5198" s="1" t="str">
        <f>"CEDAR BROOK"</f>
        <v>CEDAR BROOK</v>
      </c>
      <c r="D5198" s="1" t="str">
        <f>"NJ"</f>
        <v>NJ</v>
      </c>
      <c r="E5198" s="2">
        <v>0</v>
      </c>
      <c r="F5198" s="2">
        <v>0</v>
      </c>
      <c r="G5198" s="2">
        <v>1</v>
      </c>
      <c r="H5198" s="2">
        <v>1</v>
      </c>
    </row>
    <row r="5199" spans="1:8" x14ac:dyDescent="0.25">
      <c r="A5199" s="1" t="str">
        <f>"76055"</f>
        <v>76055</v>
      </c>
      <c r="B5199" s="1" t="str">
        <f>"19124"</f>
        <v>19124</v>
      </c>
      <c r="C5199" s="1" t="str">
        <f>"ITASCA"</f>
        <v>ITASCA</v>
      </c>
      <c r="D5199" s="1" t="str">
        <f>"TX"</f>
        <v>TX</v>
      </c>
      <c r="E5199" s="2">
        <v>1</v>
      </c>
      <c r="F5199" s="2">
        <v>0</v>
      </c>
      <c r="G5199" s="2">
        <v>0</v>
      </c>
      <c r="H5199" s="2">
        <v>1</v>
      </c>
    </row>
    <row r="5200" spans="1:8" x14ac:dyDescent="0.25">
      <c r="A5200" s="1" t="str">
        <f>"10277"</f>
        <v>10277</v>
      </c>
      <c r="B5200" s="1" t="str">
        <f>"35614"</f>
        <v>35614</v>
      </c>
      <c r="C5200" s="1" t="str">
        <f>"NEW YORK"</f>
        <v>NEW YORK</v>
      </c>
      <c r="D5200" s="1" t="str">
        <f>"NY"</f>
        <v>NY</v>
      </c>
      <c r="E5200" s="2">
        <v>0</v>
      </c>
      <c r="F5200" s="2">
        <v>0</v>
      </c>
      <c r="G5200" s="2">
        <v>1</v>
      </c>
      <c r="H5200" s="2">
        <v>1</v>
      </c>
    </row>
    <row r="5201" spans="1:8" x14ac:dyDescent="0.25">
      <c r="A5201" s="1" t="str">
        <f>"01784"</f>
        <v>01784</v>
      </c>
      <c r="B5201" s="1" t="str">
        <f>"15764"</f>
        <v>15764</v>
      </c>
      <c r="C5201" s="1" t="str">
        <f>"WOODVILLE"</f>
        <v>WOODVILLE</v>
      </c>
      <c r="D5201" s="1" t="str">
        <f>"MA"</f>
        <v>MA</v>
      </c>
      <c r="E5201" s="2">
        <v>0</v>
      </c>
      <c r="F5201" s="2">
        <v>0</v>
      </c>
      <c r="G5201" s="2">
        <v>1</v>
      </c>
      <c r="H5201" s="2">
        <v>1</v>
      </c>
    </row>
    <row r="5202" spans="1:8" x14ac:dyDescent="0.25">
      <c r="A5202" s="1" t="str">
        <f>"53102"</f>
        <v>53102</v>
      </c>
      <c r="B5202" s="1" t="str">
        <f>"29404"</f>
        <v>29404</v>
      </c>
      <c r="C5202" s="1" t="str">
        <f>"BENET LAKE"</f>
        <v>BENET LAKE</v>
      </c>
      <c r="D5202" s="1" t="str">
        <f>"WI"</f>
        <v>WI</v>
      </c>
      <c r="E5202" s="2">
        <v>0</v>
      </c>
      <c r="F5202" s="2">
        <v>1</v>
      </c>
      <c r="G5202" s="2">
        <v>0</v>
      </c>
      <c r="H5202" s="2">
        <v>1</v>
      </c>
    </row>
    <row r="5203" spans="1:8" x14ac:dyDescent="0.25">
      <c r="A5203" s="1" t="str">
        <f>"20573"</f>
        <v>20573</v>
      </c>
      <c r="B5203" s="1" t="str">
        <f>"47894"</f>
        <v>47894</v>
      </c>
      <c r="C5203" s="1" t="str">
        <f>"WASHINGTON"</f>
        <v>WASHINGTON</v>
      </c>
      <c r="D5203" s="1" t="str">
        <f>"DC"</f>
        <v>DC</v>
      </c>
      <c r="E5203" s="2">
        <v>0</v>
      </c>
      <c r="F5203" s="2">
        <v>1</v>
      </c>
      <c r="G5203" s="2">
        <v>0</v>
      </c>
      <c r="H5203" s="2">
        <v>1</v>
      </c>
    </row>
    <row r="5204" spans="1:8" x14ac:dyDescent="0.25">
      <c r="A5204" s="1" t="str">
        <f>"20437"</f>
        <v>20437</v>
      </c>
      <c r="B5204" s="1" t="str">
        <f>"47894"</f>
        <v>47894</v>
      </c>
      <c r="C5204" s="1" t="str">
        <f>"WASHINGTON"</f>
        <v>WASHINGTON</v>
      </c>
      <c r="D5204" s="1" t="str">
        <f>"DC"</f>
        <v>DC</v>
      </c>
      <c r="E5204" s="2">
        <v>0</v>
      </c>
      <c r="F5204" s="2">
        <v>1</v>
      </c>
      <c r="G5204" s="2">
        <v>0</v>
      </c>
      <c r="H5204" s="2">
        <v>1</v>
      </c>
    </row>
    <row r="5205" spans="1:8" x14ac:dyDescent="0.25">
      <c r="A5205" s="1" t="str">
        <f>"20402"</f>
        <v>20402</v>
      </c>
      <c r="B5205" s="1" t="str">
        <f>"47894"</f>
        <v>47894</v>
      </c>
      <c r="C5205" s="1" t="str">
        <f>"WASHINGTON"</f>
        <v>WASHINGTON</v>
      </c>
      <c r="D5205" s="1" t="str">
        <f>"DC"</f>
        <v>DC</v>
      </c>
      <c r="E5205" s="2">
        <v>0</v>
      </c>
      <c r="F5205" s="2">
        <v>1</v>
      </c>
      <c r="G5205" s="2">
        <v>0</v>
      </c>
      <c r="H5205" s="2">
        <v>1</v>
      </c>
    </row>
    <row r="5206" spans="1:8" x14ac:dyDescent="0.25">
      <c r="A5206" s="1" t="str">
        <f>"22225"</f>
        <v>22225</v>
      </c>
      <c r="B5206" s="1" t="str">
        <f>"47894"</f>
        <v>47894</v>
      </c>
      <c r="C5206" s="1" t="str">
        <f>"ARLINGTON"</f>
        <v>ARLINGTON</v>
      </c>
      <c r="D5206" s="1" t="str">
        <f>"VA"</f>
        <v>VA</v>
      </c>
      <c r="E5206" s="2">
        <v>0</v>
      </c>
      <c r="F5206" s="2">
        <v>1</v>
      </c>
      <c r="G5206" s="2">
        <v>0</v>
      </c>
      <c r="H5206" s="2">
        <v>1</v>
      </c>
    </row>
    <row r="5207" spans="1:8" x14ac:dyDescent="0.25">
      <c r="A5207" s="1" t="str">
        <f>"08011"</f>
        <v>08011</v>
      </c>
      <c r="B5207" s="1" t="str">
        <f>"15804"</f>
        <v>15804</v>
      </c>
      <c r="C5207" s="1" t="str">
        <f>"BIRMINGHAM"</f>
        <v>BIRMINGHAM</v>
      </c>
      <c r="D5207" s="1" t="str">
        <f>"NJ"</f>
        <v>NJ</v>
      </c>
      <c r="E5207" s="2">
        <v>0</v>
      </c>
      <c r="F5207" s="2">
        <v>0</v>
      </c>
      <c r="G5207" s="2">
        <v>1</v>
      </c>
      <c r="H5207" s="2">
        <v>1</v>
      </c>
    </row>
    <row r="5208" spans="1:8" x14ac:dyDescent="0.25">
      <c r="A5208" s="1" t="str">
        <f>"01835"</f>
        <v>01835</v>
      </c>
      <c r="B5208" s="1" t="str">
        <f>"15764"</f>
        <v>15764</v>
      </c>
      <c r="C5208" s="1" t="str">
        <f>"HAVERHILL"</f>
        <v>HAVERHILL</v>
      </c>
      <c r="D5208" s="1" t="str">
        <f>"MA"</f>
        <v>MA</v>
      </c>
      <c r="E5208" s="2">
        <v>1</v>
      </c>
      <c r="F5208" s="2">
        <v>1</v>
      </c>
      <c r="G5208" s="2">
        <v>1</v>
      </c>
      <c r="H5208" s="2">
        <v>1</v>
      </c>
    </row>
    <row r="5209" spans="1:8" x14ac:dyDescent="0.25">
      <c r="A5209" s="1" t="str">
        <f>"02066"</f>
        <v>02066</v>
      </c>
      <c r="B5209" s="1" t="str">
        <f>"14454"</f>
        <v>14454</v>
      </c>
      <c r="C5209" s="1" t="str">
        <f>"SCITUATE"</f>
        <v>SCITUATE</v>
      </c>
      <c r="D5209" s="1" t="str">
        <f>"MA"</f>
        <v>MA</v>
      </c>
      <c r="E5209" s="2">
        <v>1</v>
      </c>
      <c r="F5209" s="2">
        <v>1</v>
      </c>
      <c r="G5209" s="2">
        <v>1</v>
      </c>
      <c r="H5209" s="2">
        <v>1</v>
      </c>
    </row>
    <row r="5210" spans="1:8" x14ac:dyDescent="0.25">
      <c r="A5210" s="1" t="str">
        <f>"02136"</f>
        <v>02136</v>
      </c>
      <c r="B5210" s="1" t="str">
        <f>"14454"</f>
        <v>14454</v>
      </c>
      <c r="C5210" s="1" t="str">
        <f>"HYDE PARK"</f>
        <v>HYDE PARK</v>
      </c>
      <c r="D5210" s="1" t="str">
        <f>"MA"</f>
        <v>MA</v>
      </c>
      <c r="E5210" s="2">
        <v>1</v>
      </c>
      <c r="F5210" s="2">
        <v>1</v>
      </c>
      <c r="G5210" s="2">
        <v>1</v>
      </c>
      <c r="H5210" s="2">
        <v>1</v>
      </c>
    </row>
    <row r="5211" spans="1:8" x14ac:dyDescent="0.25">
      <c r="A5211" s="1" t="str">
        <f>"02359"</f>
        <v>02359</v>
      </c>
      <c r="B5211" s="1" t="str">
        <f>"14454"</f>
        <v>14454</v>
      </c>
      <c r="C5211" s="1" t="str">
        <f>"PEMBROKE"</f>
        <v>PEMBROKE</v>
      </c>
      <c r="D5211" s="1" t="str">
        <f>"MA"</f>
        <v>MA</v>
      </c>
      <c r="E5211" s="2">
        <v>1</v>
      </c>
      <c r="F5211" s="2">
        <v>1</v>
      </c>
      <c r="G5211" s="2">
        <v>1</v>
      </c>
      <c r="H5211" s="2">
        <v>1</v>
      </c>
    </row>
    <row r="5212" spans="1:8" x14ac:dyDescent="0.25">
      <c r="A5212" s="1" t="str">
        <f>"02576"</f>
        <v>02576</v>
      </c>
      <c r="B5212" s="1" t="str">
        <f>"14454"</f>
        <v>14454</v>
      </c>
      <c r="C5212" s="1" t="str">
        <f>"WEST WAREHAM"</f>
        <v>WEST WAREHAM</v>
      </c>
      <c r="D5212" s="1" t="str">
        <f>"MA"</f>
        <v>MA</v>
      </c>
      <c r="E5212" s="2">
        <v>1</v>
      </c>
      <c r="F5212" s="2">
        <v>1</v>
      </c>
      <c r="G5212" s="2">
        <v>1</v>
      </c>
      <c r="H5212" s="2">
        <v>1</v>
      </c>
    </row>
    <row r="5213" spans="1:8" x14ac:dyDescent="0.25">
      <c r="A5213" s="1" t="str">
        <f>"03801"</f>
        <v>03801</v>
      </c>
      <c r="B5213" s="1" t="str">
        <f>"40484"</f>
        <v>40484</v>
      </c>
      <c r="C5213" s="1" t="str">
        <f>"PORTSMOUTH"</f>
        <v>PORTSMOUTH</v>
      </c>
      <c r="D5213" s="1" t="str">
        <f>"NH"</f>
        <v>NH</v>
      </c>
      <c r="E5213" s="2">
        <v>1</v>
      </c>
      <c r="F5213" s="2">
        <v>1</v>
      </c>
      <c r="G5213" s="2">
        <v>1</v>
      </c>
      <c r="H5213" s="2">
        <v>1</v>
      </c>
    </row>
    <row r="5214" spans="1:8" x14ac:dyDescent="0.25">
      <c r="A5214" s="1" t="str">
        <f>"03865"</f>
        <v>03865</v>
      </c>
      <c r="B5214" s="1" t="str">
        <f>"40484"</f>
        <v>40484</v>
      </c>
      <c r="C5214" s="1" t="str">
        <f>"PLAISTOW"</f>
        <v>PLAISTOW</v>
      </c>
      <c r="D5214" s="1" t="str">
        <f>"NH"</f>
        <v>NH</v>
      </c>
      <c r="E5214" s="2">
        <v>1</v>
      </c>
      <c r="F5214" s="2">
        <v>1</v>
      </c>
      <c r="G5214" s="2">
        <v>1</v>
      </c>
      <c r="H5214" s="2">
        <v>1</v>
      </c>
    </row>
    <row r="5215" spans="1:8" x14ac:dyDescent="0.25">
      <c r="A5215" s="1" t="str">
        <f>"07064"</f>
        <v>07064</v>
      </c>
      <c r="B5215" s="1" t="str">
        <f>"35154"</f>
        <v>35154</v>
      </c>
      <c r="C5215" s="1" t="str">
        <f>"PORT READING"</f>
        <v>PORT READING</v>
      </c>
      <c r="D5215" s="1" t="str">
        <f t="shared" ref="D5215:D5224" si="389">"NJ"</f>
        <v>NJ</v>
      </c>
      <c r="E5215" s="2">
        <v>1</v>
      </c>
      <c r="F5215" s="2">
        <v>1</v>
      </c>
      <c r="G5215" s="2">
        <v>1</v>
      </c>
      <c r="H5215" s="2">
        <v>1</v>
      </c>
    </row>
    <row r="5216" spans="1:8" x14ac:dyDescent="0.25">
      <c r="A5216" s="1" t="str">
        <f>"07481"</f>
        <v>07481</v>
      </c>
      <c r="B5216" s="1" t="str">
        <f>"35614"</f>
        <v>35614</v>
      </c>
      <c r="C5216" s="1" t="str">
        <f>"WYCKOFF"</f>
        <v>WYCKOFF</v>
      </c>
      <c r="D5216" s="1" t="str">
        <f t="shared" si="389"/>
        <v>NJ</v>
      </c>
      <c r="E5216" s="2">
        <v>1</v>
      </c>
      <c r="F5216" s="2">
        <v>1</v>
      </c>
      <c r="G5216" s="2">
        <v>1</v>
      </c>
      <c r="H5216" s="2">
        <v>1</v>
      </c>
    </row>
    <row r="5217" spans="1:8" x14ac:dyDescent="0.25">
      <c r="A5217" s="1" t="str">
        <f>"07480"</f>
        <v>07480</v>
      </c>
      <c r="B5217" s="1" t="str">
        <f>"35614"</f>
        <v>35614</v>
      </c>
      <c r="C5217" s="1" t="str">
        <f>"WEST MILFORD"</f>
        <v>WEST MILFORD</v>
      </c>
      <c r="D5217" s="1" t="str">
        <f t="shared" si="389"/>
        <v>NJ</v>
      </c>
      <c r="E5217" s="2">
        <v>1</v>
      </c>
      <c r="F5217" s="2">
        <v>1</v>
      </c>
      <c r="G5217" s="2">
        <v>1</v>
      </c>
      <c r="H5217" s="2">
        <v>1</v>
      </c>
    </row>
    <row r="5218" spans="1:8" x14ac:dyDescent="0.25">
      <c r="A5218" s="1" t="str">
        <f>"07661"</f>
        <v>07661</v>
      </c>
      <c r="B5218" s="1" t="str">
        <f>"35614"</f>
        <v>35614</v>
      </c>
      <c r="C5218" s="1" t="str">
        <f>"RIVER EDGE"</f>
        <v>RIVER EDGE</v>
      </c>
      <c r="D5218" s="1" t="str">
        <f t="shared" si="389"/>
        <v>NJ</v>
      </c>
      <c r="E5218" s="2">
        <v>1</v>
      </c>
      <c r="F5218" s="2">
        <v>1</v>
      </c>
      <c r="G5218" s="2">
        <v>1</v>
      </c>
      <c r="H5218" s="2">
        <v>1</v>
      </c>
    </row>
    <row r="5219" spans="1:8" x14ac:dyDescent="0.25">
      <c r="A5219" s="1" t="str">
        <f>"07737"</f>
        <v>07737</v>
      </c>
      <c r="B5219" s="1" t="str">
        <f>"35154"</f>
        <v>35154</v>
      </c>
      <c r="C5219" s="1" t="str">
        <f>"LEONARDO"</f>
        <v>LEONARDO</v>
      </c>
      <c r="D5219" s="1" t="str">
        <f t="shared" si="389"/>
        <v>NJ</v>
      </c>
      <c r="E5219" s="2">
        <v>1</v>
      </c>
      <c r="F5219" s="2">
        <v>1</v>
      </c>
      <c r="G5219" s="2">
        <v>1</v>
      </c>
      <c r="H5219" s="2">
        <v>1</v>
      </c>
    </row>
    <row r="5220" spans="1:8" x14ac:dyDescent="0.25">
      <c r="A5220" s="1" t="str">
        <f>"07931"</f>
        <v>07931</v>
      </c>
      <c r="B5220" s="1" t="str">
        <f>"35084"</f>
        <v>35084</v>
      </c>
      <c r="C5220" s="1" t="str">
        <f>"FAR HILLS"</f>
        <v>FAR HILLS</v>
      </c>
      <c r="D5220" s="1" t="str">
        <f t="shared" si="389"/>
        <v>NJ</v>
      </c>
      <c r="E5220" s="2">
        <v>0.165447383230163</v>
      </c>
      <c r="F5220" s="2">
        <v>5.9171597633135998E-3</v>
      </c>
      <c r="G5220" s="2">
        <v>5.1282051282051197E-2</v>
      </c>
      <c r="H5220" s="2">
        <v>0.14772727272727201</v>
      </c>
    </row>
    <row r="5221" spans="1:8" x14ac:dyDescent="0.25">
      <c r="A5221" s="1" t="str">
        <f>"07931"</f>
        <v>07931</v>
      </c>
      <c r="B5221" s="1" t="str">
        <f>"35154"</f>
        <v>35154</v>
      </c>
      <c r="C5221" s="1" t="str">
        <f>"FAR HILLS"</f>
        <v>FAR HILLS</v>
      </c>
      <c r="D5221" s="1" t="str">
        <f t="shared" si="389"/>
        <v>NJ</v>
      </c>
      <c r="E5221" s="2">
        <v>0.83455261676983605</v>
      </c>
      <c r="F5221" s="2">
        <v>0.99408284023668603</v>
      </c>
      <c r="G5221" s="2">
        <v>0.94871794871794801</v>
      </c>
      <c r="H5221" s="2">
        <v>0.85227272727272696</v>
      </c>
    </row>
    <row r="5222" spans="1:8" x14ac:dyDescent="0.25">
      <c r="A5222" s="1" t="str">
        <f>"08034"</f>
        <v>08034</v>
      </c>
      <c r="B5222" s="1" t="str">
        <f>"15804"</f>
        <v>15804</v>
      </c>
      <c r="C5222" s="1" t="str">
        <f>"CHERRY HILL"</f>
        <v>CHERRY HILL</v>
      </c>
      <c r="D5222" s="1" t="str">
        <f t="shared" si="389"/>
        <v>NJ</v>
      </c>
      <c r="E5222" s="2">
        <v>1</v>
      </c>
      <c r="F5222" s="2">
        <v>1</v>
      </c>
      <c r="G5222" s="2">
        <v>1</v>
      </c>
      <c r="H5222" s="2">
        <v>1</v>
      </c>
    </row>
    <row r="5223" spans="1:8" x14ac:dyDescent="0.25">
      <c r="A5223" s="1" t="str">
        <f>"08056"</f>
        <v>08056</v>
      </c>
      <c r="B5223" s="1" t="str">
        <f>"15804"</f>
        <v>15804</v>
      </c>
      <c r="C5223" s="1" t="str">
        <f>"MICKLETON"</f>
        <v>MICKLETON</v>
      </c>
      <c r="D5223" s="1" t="str">
        <f t="shared" si="389"/>
        <v>NJ</v>
      </c>
      <c r="E5223" s="2">
        <v>1</v>
      </c>
      <c r="F5223" s="2">
        <v>1</v>
      </c>
      <c r="G5223" s="2">
        <v>1</v>
      </c>
      <c r="H5223" s="2">
        <v>1</v>
      </c>
    </row>
    <row r="5224" spans="1:8" x14ac:dyDescent="0.25">
      <c r="A5224" s="1" t="str">
        <f>"08512"</f>
        <v>08512</v>
      </c>
      <c r="B5224" s="1" t="str">
        <f>"35154"</f>
        <v>35154</v>
      </c>
      <c r="C5224" s="1" t="str">
        <f>"CRANBURY"</f>
        <v>CRANBURY</v>
      </c>
      <c r="D5224" s="1" t="str">
        <f t="shared" si="389"/>
        <v>NJ</v>
      </c>
      <c r="E5224" s="2">
        <v>1</v>
      </c>
      <c r="F5224" s="2">
        <v>1</v>
      </c>
      <c r="G5224" s="2">
        <v>1</v>
      </c>
      <c r="H5224" s="2">
        <v>1</v>
      </c>
    </row>
    <row r="5225" spans="1:8" x14ac:dyDescent="0.25">
      <c r="A5225" s="1" t="str">
        <f>"10461"</f>
        <v>10461</v>
      </c>
      <c r="B5225" s="1" t="str">
        <f>"35614"</f>
        <v>35614</v>
      </c>
      <c r="C5225" s="1" t="str">
        <f>"BRONX"</f>
        <v>BRONX</v>
      </c>
      <c r="D5225" s="1" t="str">
        <f t="shared" ref="D5225:D5238" si="390">"NY"</f>
        <v>NY</v>
      </c>
      <c r="E5225" s="2">
        <v>1</v>
      </c>
      <c r="F5225" s="2">
        <v>1</v>
      </c>
      <c r="G5225" s="2">
        <v>1</v>
      </c>
      <c r="H5225" s="2">
        <v>1</v>
      </c>
    </row>
    <row r="5226" spans="1:8" x14ac:dyDescent="0.25">
      <c r="A5226" s="1" t="str">
        <f>"11030"</f>
        <v>11030</v>
      </c>
      <c r="B5226" s="1" t="str">
        <f>"35004"</f>
        <v>35004</v>
      </c>
      <c r="C5226" s="1" t="str">
        <f>"MANHASSET"</f>
        <v>MANHASSET</v>
      </c>
      <c r="D5226" s="1" t="str">
        <f t="shared" si="390"/>
        <v>NY</v>
      </c>
      <c r="E5226" s="2">
        <v>1</v>
      </c>
      <c r="F5226" s="2">
        <v>1</v>
      </c>
      <c r="G5226" s="2">
        <v>1</v>
      </c>
      <c r="H5226" s="2">
        <v>1</v>
      </c>
    </row>
    <row r="5227" spans="1:8" x14ac:dyDescent="0.25">
      <c r="A5227" s="1" t="str">
        <f>"11103"</f>
        <v>11103</v>
      </c>
      <c r="B5227" s="1" t="str">
        <f>"35614"</f>
        <v>35614</v>
      </c>
      <c r="C5227" s="1" t="str">
        <f>"ASTORIA"</f>
        <v>ASTORIA</v>
      </c>
      <c r="D5227" s="1" t="str">
        <f t="shared" si="390"/>
        <v>NY</v>
      </c>
      <c r="E5227" s="2">
        <v>1</v>
      </c>
      <c r="F5227" s="2">
        <v>1</v>
      </c>
      <c r="G5227" s="2">
        <v>1</v>
      </c>
      <c r="H5227" s="2">
        <v>1</v>
      </c>
    </row>
    <row r="5228" spans="1:8" x14ac:dyDescent="0.25">
      <c r="A5228" s="1" t="str">
        <f>"11102"</f>
        <v>11102</v>
      </c>
      <c r="B5228" s="1" t="str">
        <f>"35614"</f>
        <v>35614</v>
      </c>
      <c r="C5228" s="1" t="str">
        <f>"ASTORIA"</f>
        <v>ASTORIA</v>
      </c>
      <c r="D5228" s="1" t="str">
        <f t="shared" si="390"/>
        <v>NY</v>
      </c>
      <c r="E5228" s="2">
        <v>1</v>
      </c>
      <c r="F5228" s="2">
        <v>1</v>
      </c>
      <c r="G5228" s="2">
        <v>1</v>
      </c>
      <c r="H5228" s="2">
        <v>1</v>
      </c>
    </row>
    <row r="5229" spans="1:8" x14ac:dyDescent="0.25">
      <c r="A5229" s="1" t="str">
        <f>"11371"</f>
        <v>11371</v>
      </c>
      <c r="B5229" s="1" t="str">
        <f>"35614"</f>
        <v>35614</v>
      </c>
      <c r="C5229" s="1" t="str">
        <f>"FLUSHING"</f>
        <v>FLUSHING</v>
      </c>
      <c r="D5229" s="1" t="str">
        <f t="shared" si="390"/>
        <v>NY</v>
      </c>
      <c r="E5229" s="2">
        <v>1</v>
      </c>
      <c r="F5229" s="2">
        <v>1</v>
      </c>
      <c r="G5229" s="2">
        <v>1</v>
      </c>
      <c r="H5229" s="2">
        <v>1</v>
      </c>
    </row>
    <row r="5230" spans="1:8" x14ac:dyDescent="0.25">
      <c r="A5230" s="1" t="str">
        <f>"11414"</f>
        <v>11414</v>
      </c>
      <c r="B5230" s="1" t="str">
        <f>"35614"</f>
        <v>35614</v>
      </c>
      <c r="C5230" s="1" t="str">
        <f>"HOWARD BEACH"</f>
        <v>HOWARD BEACH</v>
      </c>
      <c r="D5230" s="1" t="str">
        <f t="shared" si="390"/>
        <v>NY</v>
      </c>
      <c r="E5230" s="2">
        <v>1</v>
      </c>
      <c r="F5230" s="2">
        <v>1</v>
      </c>
      <c r="G5230" s="2">
        <v>1</v>
      </c>
      <c r="H5230" s="2">
        <v>1</v>
      </c>
    </row>
    <row r="5231" spans="1:8" x14ac:dyDescent="0.25">
      <c r="A5231" s="1" t="str">
        <f>"11551"</f>
        <v>11551</v>
      </c>
      <c r="B5231" s="1" t="str">
        <f>"35004"</f>
        <v>35004</v>
      </c>
      <c r="C5231" s="1" t="str">
        <f>"HEMPSTEAD"</f>
        <v>HEMPSTEAD</v>
      </c>
      <c r="D5231" s="1" t="str">
        <f t="shared" si="390"/>
        <v>NY</v>
      </c>
      <c r="E5231" s="2">
        <v>1</v>
      </c>
      <c r="F5231" s="2">
        <v>1</v>
      </c>
      <c r="G5231" s="2">
        <v>1</v>
      </c>
      <c r="H5231" s="2">
        <v>1</v>
      </c>
    </row>
    <row r="5232" spans="1:8" x14ac:dyDescent="0.25">
      <c r="A5232" s="1" t="str">
        <f>"11801"</f>
        <v>11801</v>
      </c>
      <c r="B5232" s="1" t="str">
        <f>"35004"</f>
        <v>35004</v>
      </c>
      <c r="C5232" s="1" t="str">
        <f>"HICKSVILLE"</f>
        <v>HICKSVILLE</v>
      </c>
      <c r="D5232" s="1" t="str">
        <f t="shared" si="390"/>
        <v>NY</v>
      </c>
      <c r="E5232" s="2">
        <v>1</v>
      </c>
      <c r="F5232" s="2">
        <v>1</v>
      </c>
      <c r="G5232" s="2">
        <v>1</v>
      </c>
      <c r="H5232" s="2">
        <v>1</v>
      </c>
    </row>
    <row r="5233" spans="1:8" x14ac:dyDescent="0.25">
      <c r="A5233" s="1" t="str">
        <f>"11946"</f>
        <v>11946</v>
      </c>
      <c r="B5233" s="1" t="str">
        <f>"35004"</f>
        <v>35004</v>
      </c>
      <c r="C5233" s="1" t="str">
        <f>"HAMPTON BAYS"</f>
        <v>HAMPTON BAYS</v>
      </c>
      <c r="D5233" s="1" t="str">
        <f t="shared" si="390"/>
        <v>NY</v>
      </c>
      <c r="E5233" s="2">
        <v>1</v>
      </c>
      <c r="F5233" s="2">
        <v>1</v>
      </c>
      <c r="G5233" s="2">
        <v>1</v>
      </c>
      <c r="H5233" s="2">
        <v>1</v>
      </c>
    </row>
    <row r="5234" spans="1:8" x14ac:dyDescent="0.25">
      <c r="A5234" s="1" t="str">
        <f>"11942"</f>
        <v>11942</v>
      </c>
      <c r="B5234" s="1" t="str">
        <f>"35004"</f>
        <v>35004</v>
      </c>
      <c r="C5234" s="1" t="str">
        <f>"EAST QUOGUE"</f>
        <v>EAST QUOGUE</v>
      </c>
      <c r="D5234" s="1" t="str">
        <f t="shared" si="390"/>
        <v>NY</v>
      </c>
      <c r="E5234" s="2">
        <v>1</v>
      </c>
      <c r="F5234" s="2">
        <v>1</v>
      </c>
      <c r="G5234" s="2">
        <v>1</v>
      </c>
      <c r="H5234" s="2">
        <v>1</v>
      </c>
    </row>
    <row r="5235" spans="1:8" x14ac:dyDescent="0.25">
      <c r="A5235" s="1" t="str">
        <f>"10543"</f>
        <v>10543</v>
      </c>
      <c r="B5235" s="1" t="str">
        <f>"35614"</f>
        <v>35614</v>
      </c>
      <c r="C5235" s="1" t="str">
        <f>"MAMARONECK"</f>
        <v>MAMARONECK</v>
      </c>
      <c r="D5235" s="1" t="str">
        <f t="shared" si="390"/>
        <v>NY</v>
      </c>
      <c r="E5235" s="2">
        <v>1</v>
      </c>
      <c r="F5235" s="2">
        <v>1</v>
      </c>
      <c r="G5235" s="2">
        <v>1</v>
      </c>
      <c r="H5235" s="2">
        <v>1</v>
      </c>
    </row>
    <row r="5236" spans="1:8" x14ac:dyDescent="0.25">
      <c r="A5236" s="1" t="str">
        <f>"10547"</f>
        <v>10547</v>
      </c>
      <c r="B5236" s="1" t="str">
        <f>"35614"</f>
        <v>35614</v>
      </c>
      <c r="C5236" s="1" t="str">
        <f>"MOHEGAN LAKE"</f>
        <v>MOHEGAN LAKE</v>
      </c>
      <c r="D5236" s="1" t="str">
        <f t="shared" si="390"/>
        <v>NY</v>
      </c>
      <c r="E5236" s="2">
        <v>1</v>
      </c>
      <c r="F5236" s="2">
        <v>1</v>
      </c>
      <c r="G5236" s="2">
        <v>1</v>
      </c>
      <c r="H5236" s="2">
        <v>1</v>
      </c>
    </row>
    <row r="5237" spans="1:8" x14ac:dyDescent="0.25">
      <c r="A5237" s="1" t="str">
        <f>"10956"</f>
        <v>10956</v>
      </c>
      <c r="B5237" s="1" t="str">
        <f>"35614"</f>
        <v>35614</v>
      </c>
      <c r="C5237" s="1" t="str">
        <f>"NEW CITY"</f>
        <v>NEW CITY</v>
      </c>
      <c r="D5237" s="1" t="str">
        <f t="shared" si="390"/>
        <v>NY</v>
      </c>
      <c r="E5237" s="2">
        <v>1</v>
      </c>
      <c r="F5237" s="2">
        <v>1</v>
      </c>
      <c r="G5237" s="2">
        <v>1</v>
      </c>
      <c r="H5237" s="2">
        <v>1</v>
      </c>
    </row>
    <row r="5238" spans="1:8" x14ac:dyDescent="0.25">
      <c r="A5238" s="1" t="str">
        <f>"10983"</f>
        <v>10983</v>
      </c>
      <c r="B5238" s="1" t="str">
        <f>"35614"</f>
        <v>35614</v>
      </c>
      <c r="C5238" s="1" t="str">
        <f>"TAPPAN"</f>
        <v>TAPPAN</v>
      </c>
      <c r="D5238" s="1" t="str">
        <f t="shared" si="390"/>
        <v>NY</v>
      </c>
      <c r="E5238" s="2">
        <v>1</v>
      </c>
      <c r="F5238" s="2">
        <v>1</v>
      </c>
      <c r="G5238" s="2">
        <v>1</v>
      </c>
      <c r="H5238" s="2">
        <v>1</v>
      </c>
    </row>
    <row r="5239" spans="1:8" x14ac:dyDescent="0.25">
      <c r="A5239" s="1" t="str">
        <f>"18923"</f>
        <v>18923</v>
      </c>
      <c r="B5239" s="1" t="str">
        <f>"33874"</f>
        <v>33874</v>
      </c>
      <c r="C5239" s="1" t="str">
        <f>"FOUNTAINVILLE"</f>
        <v>FOUNTAINVILLE</v>
      </c>
      <c r="D5239" s="1" t="str">
        <f>"PA"</f>
        <v>PA</v>
      </c>
      <c r="E5239" s="2">
        <v>1</v>
      </c>
      <c r="F5239" s="2">
        <v>1</v>
      </c>
      <c r="G5239" s="2">
        <v>1</v>
      </c>
      <c r="H5239" s="2">
        <v>1</v>
      </c>
    </row>
    <row r="5240" spans="1:8" x14ac:dyDescent="0.25">
      <c r="A5240" s="1" t="str">
        <f>"19064"</f>
        <v>19064</v>
      </c>
      <c r="B5240" s="1" t="str">
        <f>"37964"</f>
        <v>37964</v>
      </c>
      <c r="C5240" s="1" t="str">
        <f>"SPRINGFIELD"</f>
        <v>SPRINGFIELD</v>
      </c>
      <c r="D5240" s="1" t="str">
        <f>"PA"</f>
        <v>PA</v>
      </c>
      <c r="E5240" s="2">
        <v>1</v>
      </c>
      <c r="F5240" s="2">
        <v>1</v>
      </c>
      <c r="G5240" s="2">
        <v>1</v>
      </c>
      <c r="H5240" s="2">
        <v>1</v>
      </c>
    </row>
    <row r="5241" spans="1:8" x14ac:dyDescent="0.25">
      <c r="A5241" s="1" t="str">
        <f>"19144"</f>
        <v>19144</v>
      </c>
      <c r="B5241" s="1" t="str">
        <f>"37964"</f>
        <v>37964</v>
      </c>
      <c r="C5241" s="1" t="str">
        <f>"PHILADELPHIA"</f>
        <v>PHILADELPHIA</v>
      </c>
      <c r="D5241" s="1" t="str">
        <f>"PA"</f>
        <v>PA</v>
      </c>
      <c r="E5241" s="2">
        <v>1</v>
      </c>
      <c r="F5241" s="2">
        <v>1</v>
      </c>
      <c r="G5241" s="2">
        <v>1</v>
      </c>
      <c r="H5241" s="2">
        <v>1</v>
      </c>
    </row>
    <row r="5242" spans="1:8" x14ac:dyDescent="0.25">
      <c r="A5242" s="1" t="str">
        <f>"19131"</f>
        <v>19131</v>
      </c>
      <c r="B5242" s="1" t="str">
        <f>"37964"</f>
        <v>37964</v>
      </c>
      <c r="C5242" s="1" t="str">
        <f>"PHILADELPHIA"</f>
        <v>PHILADELPHIA</v>
      </c>
      <c r="D5242" s="1" t="str">
        <f>"PA"</f>
        <v>PA</v>
      </c>
      <c r="E5242" s="2">
        <v>1</v>
      </c>
      <c r="F5242" s="2">
        <v>1</v>
      </c>
      <c r="G5242" s="2">
        <v>1</v>
      </c>
      <c r="H5242" s="2">
        <v>1</v>
      </c>
    </row>
    <row r="5243" spans="1:8" x14ac:dyDescent="0.25">
      <c r="A5243" s="1" t="str">
        <f>"19330"</f>
        <v>19330</v>
      </c>
      <c r="B5243" s="1" t="str">
        <f>"33874"</f>
        <v>33874</v>
      </c>
      <c r="C5243" s="1" t="str">
        <f>"COCHRANVILLE"</f>
        <v>COCHRANVILLE</v>
      </c>
      <c r="D5243" s="1" t="str">
        <f>"PA"</f>
        <v>PA</v>
      </c>
      <c r="E5243" s="2">
        <v>1</v>
      </c>
      <c r="F5243" s="2">
        <v>1</v>
      </c>
      <c r="G5243" s="2">
        <v>1</v>
      </c>
      <c r="H5243" s="2">
        <v>1</v>
      </c>
    </row>
    <row r="5244" spans="1:8" x14ac:dyDescent="0.25">
      <c r="A5244" s="1" t="str">
        <f>"19734"</f>
        <v>19734</v>
      </c>
      <c r="B5244" s="1" t="str">
        <f>"48864"</f>
        <v>48864</v>
      </c>
      <c r="C5244" s="1" t="str">
        <f>"TOWNSEND"</f>
        <v>TOWNSEND</v>
      </c>
      <c r="D5244" s="1" t="str">
        <f>"DE"</f>
        <v>DE</v>
      </c>
      <c r="E5244" s="2">
        <v>1</v>
      </c>
      <c r="F5244" s="2">
        <v>1</v>
      </c>
      <c r="G5244" s="2">
        <v>1</v>
      </c>
      <c r="H5244" s="2">
        <v>1</v>
      </c>
    </row>
    <row r="5245" spans="1:8" x14ac:dyDescent="0.25">
      <c r="A5245" s="1" t="str">
        <f>"19801"</f>
        <v>19801</v>
      </c>
      <c r="B5245" s="1" t="str">
        <f>"48864"</f>
        <v>48864</v>
      </c>
      <c r="C5245" s="1" t="str">
        <f>"WILMINGTON"</f>
        <v>WILMINGTON</v>
      </c>
      <c r="D5245" s="1" t="str">
        <f>"DE"</f>
        <v>DE</v>
      </c>
      <c r="E5245" s="2">
        <v>1</v>
      </c>
      <c r="F5245" s="2">
        <v>1</v>
      </c>
      <c r="G5245" s="2">
        <v>1</v>
      </c>
      <c r="H5245" s="2">
        <v>1</v>
      </c>
    </row>
    <row r="5246" spans="1:8" x14ac:dyDescent="0.25">
      <c r="A5246" s="1" t="str">
        <f>"20008"</f>
        <v>20008</v>
      </c>
      <c r="B5246" s="1" t="str">
        <f>"47894"</f>
        <v>47894</v>
      </c>
      <c r="C5246" s="1" t="str">
        <f>"WASHINGTON"</f>
        <v>WASHINGTON</v>
      </c>
      <c r="D5246" s="1" t="str">
        <f>"DC"</f>
        <v>DC</v>
      </c>
      <c r="E5246" s="2">
        <v>1</v>
      </c>
      <c r="F5246" s="2">
        <v>1</v>
      </c>
      <c r="G5246" s="2">
        <v>1</v>
      </c>
      <c r="H5246" s="2">
        <v>1</v>
      </c>
    </row>
    <row r="5247" spans="1:8" x14ac:dyDescent="0.25">
      <c r="A5247" s="1" t="str">
        <f>"20782"</f>
        <v>20782</v>
      </c>
      <c r="B5247" s="1" t="str">
        <f>"47894"</f>
        <v>47894</v>
      </c>
      <c r="C5247" s="1" t="str">
        <f>"HYATTSVILLE"</f>
        <v>HYATTSVILLE</v>
      </c>
      <c r="D5247" s="1" t="str">
        <f t="shared" ref="D5247:D5254" si="391">"MD"</f>
        <v>MD</v>
      </c>
      <c r="E5247" s="2">
        <v>1</v>
      </c>
      <c r="F5247" s="2">
        <v>1</v>
      </c>
      <c r="G5247" s="2">
        <v>1</v>
      </c>
      <c r="H5247" s="2">
        <v>1</v>
      </c>
    </row>
    <row r="5248" spans="1:8" x14ac:dyDescent="0.25">
      <c r="A5248" s="1" t="str">
        <f>"20847"</f>
        <v>20847</v>
      </c>
      <c r="B5248" s="1" t="str">
        <f>"23224"</f>
        <v>23224</v>
      </c>
      <c r="C5248" s="1" t="str">
        <f>"ROCKVILLE"</f>
        <v>ROCKVILLE</v>
      </c>
      <c r="D5248" s="1" t="str">
        <f t="shared" si="391"/>
        <v>MD</v>
      </c>
      <c r="E5248" s="2">
        <v>1</v>
      </c>
      <c r="F5248" s="2">
        <v>1</v>
      </c>
      <c r="G5248" s="2">
        <v>1</v>
      </c>
      <c r="H5248" s="2">
        <v>1</v>
      </c>
    </row>
    <row r="5249" spans="1:8" x14ac:dyDescent="0.25">
      <c r="A5249" s="1" t="str">
        <f>"20910"</f>
        <v>20910</v>
      </c>
      <c r="B5249" s="1" t="str">
        <f>"23224"</f>
        <v>23224</v>
      </c>
      <c r="C5249" s="1" t="str">
        <f>"SILVER SPRING"</f>
        <v>SILVER SPRING</v>
      </c>
      <c r="D5249" s="1" t="str">
        <f t="shared" si="391"/>
        <v>MD</v>
      </c>
      <c r="E5249" s="2">
        <v>1</v>
      </c>
      <c r="F5249" s="2">
        <v>1</v>
      </c>
      <c r="G5249" s="2">
        <v>1</v>
      </c>
      <c r="H5249" s="2">
        <v>1</v>
      </c>
    </row>
    <row r="5250" spans="1:8" x14ac:dyDescent="0.25">
      <c r="A5250" s="1" t="str">
        <f>"21701"</f>
        <v>21701</v>
      </c>
      <c r="B5250" s="1" t="str">
        <f>"23224"</f>
        <v>23224</v>
      </c>
      <c r="C5250" s="1" t="str">
        <f>"FREDERICK"</f>
        <v>FREDERICK</v>
      </c>
      <c r="D5250" s="1" t="str">
        <f t="shared" si="391"/>
        <v>MD</v>
      </c>
      <c r="E5250" s="2">
        <v>1</v>
      </c>
      <c r="F5250" s="2">
        <v>1</v>
      </c>
      <c r="G5250" s="2">
        <v>1</v>
      </c>
      <c r="H5250" s="2">
        <v>1</v>
      </c>
    </row>
    <row r="5251" spans="1:8" x14ac:dyDescent="0.25">
      <c r="A5251" s="1" t="str">
        <f>"21793"</f>
        <v>21793</v>
      </c>
      <c r="B5251" s="1" t="str">
        <f>"23224"</f>
        <v>23224</v>
      </c>
      <c r="C5251" s="1" t="str">
        <f>"WALKERSVILLE"</f>
        <v>WALKERSVILLE</v>
      </c>
      <c r="D5251" s="1" t="str">
        <f t="shared" si="391"/>
        <v>MD</v>
      </c>
      <c r="E5251" s="2">
        <v>1</v>
      </c>
      <c r="F5251" s="2">
        <v>1</v>
      </c>
      <c r="G5251" s="2">
        <v>1</v>
      </c>
      <c r="H5251" s="2">
        <v>1</v>
      </c>
    </row>
    <row r="5252" spans="1:8" x14ac:dyDescent="0.25">
      <c r="A5252" s="1" t="str">
        <f>"21921"</f>
        <v>21921</v>
      </c>
      <c r="B5252" s="1" t="str">
        <f>"48864"</f>
        <v>48864</v>
      </c>
      <c r="C5252" s="1" t="str">
        <f>"ELKTON"</f>
        <v>ELKTON</v>
      </c>
      <c r="D5252" s="1" t="str">
        <f t="shared" si="391"/>
        <v>MD</v>
      </c>
      <c r="E5252" s="2">
        <v>1</v>
      </c>
      <c r="F5252" s="2">
        <v>1</v>
      </c>
      <c r="G5252" s="2">
        <v>1</v>
      </c>
      <c r="H5252" s="2">
        <v>1</v>
      </c>
    </row>
    <row r="5253" spans="1:8" x14ac:dyDescent="0.25">
      <c r="A5253" s="1" t="str">
        <f>"21917"</f>
        <v>21917</v>
      </c>
      <c r="B5253" s="1" t="str">
        <f>"48864"</f>
        <v>48864</v>
      </c>
      <c r="C5253" s="1" t="str">
        <f>"COLORA"</f>
        <v>COLORA</v>
      </c>
      <c r="D5253" s="1" t="str">
        <f t="shared" si="391"/>
        <v>MD</v>
      </c>
      <c r="E5253" s="2">
        <v>1</v>
      </c>
      <c r="F5253" s="2">
        <v>1</v>
      </c>
      <c r="G5253" s="2">
        <v>1</v>
      </c>
      <c r="H5253" s="2">
        <v>1</v>
      </c>
    </row>
    <row r="5254" spans="1:8" x14ac:dyDescent="0.25">
      <c r="A5254" s="1" t="str">
        <f>"21919"</f>
        <v>21919</v>
      </c>
      <c r="B5254" s="1" t="str">
        <f>"48864"</f>
        <v>48864</v>
      </c>
      <c r="C5254" s="1" t="str">
        <f>"EARLEVILLE"</f>
        <v>EARLEVILLE</v>
      </c>
      <c r="D5254" s="1" t="str">
        <f t="shared" si="391"/>
        <v>MD</v>
      </c>
      <c r="E5254" s="2">
        <v>1</v>
      </c>
      <c r="F5254" s="2">
        <v>1</v>
      </c>
      <c r="G5254" s="2">
        <v>1</v>
      </c>
      <c r="H5254" s="2">
        <v>1</v>
      </c>
    </row>
    <row r="5255" spans="1:8" x14ac:dyDescent="0.25">
      <c r="A5255" s="1" t="str">
        <f>"20152"</f>
        <v>20152</v>
      </c>
      <c r="B5255" s="1" t="str">
        <f t="shared" ref="B5255:B5262" si="392">"47894"</f>
        <v>47894</v>
      </c>
      <c r="C5255" s="1" t="str">
        <f>"CHANTILLY"</f>
        <v>CHANTILLY</v>
      </c>
      <c r="D5255" s="1" t="str">
        <f t="shared" ref="D5255:D5262" si="393">"VA"</f>
        <v>VA</v>
      </c>
      <c r="E5255" s="2">
        <v>1</v>
      </c>
      <c r="F5255" s="2">
        <v>1</v>
      </c>
      <c r="G5255" s="2">
        <v>1</v>
      </c>
      <c r="H5255" s="2">
        <v>1</v>
      </c>
    </row>
    <row r="5256" spans="1:8" x14ac:dyDescent="0.25">
      <c r="A5256" s="1" t="str">
        <f>"20194"</f>
        <v>20194</v>
      </c>
      <c r="B5256" s="1" t="str">
        <f t="shared" si="392"/>
        <v>47894</v>
      </c>
      <c r="C5256" s="1" t="str">
        <f>"RESTON"</f>
        <v>RESTON</v>
      </c>
      <c r="D5256" s="1" t="str">
        <f t="shared" si="393"/>
        <v>VA</v>
      </c>
      <c r="E5256" s="2">
        <v>1</v>
      </c>
      <c r="F5256" s="2">
        <v>1</v>
      </c>
      <c r="G5256" s="2">
        <v>1</v>
      </c>
      <c r="H5256" s="2">
        <v>1</v>
      </c>
    </row>
    <row r="5257" spans="1:8" x14ac:dyDescent="0.25">
      <c r="A5257" s="1" t="str">
        <f>"22206"</f>
        <v>22206</v>
      </c>
      <c r="B5257" s="1" t="str">
        <f t="shared" si="392"/>
        <v>47894</v>
      </c>
      <c r="C5257" s="1" t="str">
        <f>"ARLINGTON"</f>
        <v>ARLINGTON</v>
      </c>
      <c r="D5257" s="1" t="str">
        <f t="shared" si="393"/>
        <v>VA</v>
      </c>
      <c r="E5257" s="2">
        <v>1</v>
      </c>
      <c r="F5257" s="2">
        <v>1</v>
      </c>
      <c r="G5257" s="2">
        <v>1</v>
      </c>
      <c r="H5257" s="2">
        <v>1</v>
      </c>
    </row>
    <row r="5258" spans="1:8" x14ac:dyDescent="0.25">
      <c r="A5258" s="1" t="str">
        <f>"22303"</f>
        <v>22303</v>
      </c>
      <c r="B5258" s="1" t="str">
        <f t="shared" si="392"/>
        <v>47894</v>
      </c>
      <c r="C5258" s="1" t="str">
        <f>"ALEXANDRIA"</f>
        <v>ALEXANDRIA</v>
      </c>
      <c r="D5258" s="1" t="str">
        <f t="shared" si="393"/>
        <v>VA</v>
      </c>
      <c r="E5258" s="2">
        <v>1</v>
      </c>
      <c r="F5258" s="2">
        <v>1</v>
      </c>
      <c r="G5258" s="2">
        <v>1</v>
      </c>
      <c r="H5258" s="2">
        <v>1</v>
      </c>
    </row>
    <row r="5259" spans="1:8" x14ac:dyDescent="0.25">
      <c r="A5259" s="1" t="str">
        <f>"22308"</f>
        <v>22308</v>
      </c>
      <c r="B5259" s="1" t="str">
        <f t="shared" si="392"/>
        <v>47894</v>
      </c>
      <c r="C5259" s="1" t="str">
        <f>"ALEXANDRIA"</f>
        <v>ALEXANDRIA</v>
      </c>
      <c r="D5259" s="1" t="str">
        <f t="shared" si="393"/>
        <v>VA</v>
      </c>
      <c r="E5259" s="2">
        <v>1</v>
      </c>
      <c r="F5259" s="2">
        <v>1</v>
      </c>
      <c r="G5259" s="2">
        <v>1</v>
      </c>
      <c r="H5259" s="2">
        <v>1</v>
      </c>
    </row>
    <row r="5260" spans="1:8" x14ac:dyDescent="0.25">
      <c r="A5260" s="1" t="str">
        <f>"22715"</f>
        <v>22715</v>
      </c>
      <c r="B5260" s="1" t="str">
        <f t="shared" si="392"/>
        <v>47894</v>
      </c>
      <c r="C5260" s="1" t="str">
        <f>"BRIGHTWOOD"</f>
        <v>BRIGHTWOOD</v>
      </c>
      <c r="D5260" s="1" t="str">
        <f t="shared" si="393"/>
        <v>VA</v>
      </c>
      <c r="E5260" s="2">
        <v>1</v>
      </c>
      <c r="F5260" s="2">
        <v>1</v>
      </c>
      <c r="G5260" s="2">
        <v>0</v>
      </c>
      <c r="H5260" s="2">
        <v>1</v>
      </c>
    </row>
    <row r="5261" spans="1:8" x14ac:dyDescent="0.25">
      <c r="A5261" s="1" t="str">
        <f>"22747"</f>
        <v>22747</v>
      </c>
      <c r="B5261" s="1" t="str">
        <f t="shared" si="392"/>
        <v>47894</v>
      </c>
      <c r="C5261" s="1" t="str">
        <f>"WASHINGTON"</f>
        <v>WASHINGTON</v>
      </c>
      <c r="D5261" s="1" t="str">
        <f t="shared" si="393"/>
        <v>VA</v>
      </c>
      <c r="E5261" s="2">
        <v>1</v>
      </c>
      <c r="F5261" s="2">
        <v>1</v>
      </c>
      <c r="G5261" s="2">
        <v>1</v>
      </c>
      <c r="H5261" s="2">
        <v>1</v>
      </c>
    </row>
    <row r="5262" spans="1:8" x14ac:dyDescent="0.25">
      <c r="A5262" s="1" t="str">
        <f>"22960"</f>
        <v>22960</v>
      </c>
      <c r="B5262" s="1" t="str">
        <f t="shared" si="392"/>
        <v>47894</v>
      </c>
      <c r="C5262" s="1" t="str">
        <f>"ORANGE"</f>
        <v>ORANGE</v>
      </c>
      <c r="D5262" s="1" t="str">
        <f t="shared" si="393"/>
        <v>VA</v>
      </c>
      <c r="E5262" s="2">
        <v>1</v>
      </c>
      <c r="F5262" s="2">
        <v>1</v>
      </c>
      <c r="G5262" s="2">
        <v>0</v>
      </c>
      <c r="H5262" s="2">
        <v>1</v>
      </c>
    </row>
    <row r="5263" spans="1:8" x14ac:dyDescent="0.25">
      <c r="A5263" s="1" t="str">
        <f>"33062"</f>
        <v>33062</v>
      </c>
      <c r="B5263" s="1" t="str">
        <f>"22744"</f>
        <v>22744</v>
      </c>
      <c r="C5263" s="1" t="str">
        <f>"POMPANO BEACH"</f>
        <v>POMPANO BEACH</v>
      </c>
      <c r="D5263" s="1" t="str">
        <f t="shared" ref="D5263:D5273" si="394">"FL"</f>
        <v>FL</v>
      </c>
      <c r="E5263" s="2">
        <v>1</v>
      </c>
      <c r="F5263" s="2">
        <v>1</v>
      </c>
      <c r="G5263" s="2">
        <v>1</v>
      </c>
      <c r="H5263" s="2">
        <v>1</v>
      </c>
    </row>
    <row r="5264" spans="1:8" x14ac:dyDescent="0.25">
      <c r="A5264" s="1" t="str">
        <f>"33067"</f>
        <v>33067</v>
      </c>
      <c r="B5264" s="1" t="str">
        <f>"22744"</f>
        <v>22744</v>
      </c>
      <c r="C5264" s="1" t="str">
        <f>"POMPANO BEACH"</f>
        <v>POMPANO BEACH</v>
      </c>
      <c r="D5264" s="1" t="str">
        <f t="shared" si="394"/>
        <v>FL</v>
      </c>
      <c r="E5264" s="2">
        <v>1</v>
      </c>
      <c r="F5264" s="2">
        <v>1</v>
      </c>
      <c r="G5264" s="2">
        <v>1</v>
      </c>
      <c r="H5264" s="2">
        <v>1</v>
      </c>
    </row>
    <row r="5265" spans="1:8" x14ac:dyDescent="0.25">
      <c r="A5265" s="1" t="str">
        <f>"33018"</f>
        <v>33018</v>
      </c>
      <c r="B5265" s="1" t="str">
        <f>"22744"</f>
        <v>22744</v>
      </c>
      <c r="C5265" s="1" t="str">
        <f>"HIALEAH"</f>
        <v>HIALEAH</v>
      </c>
      <c r="D5265" s="1" t="str">
        <f t="shared" si="394"/>
        <v>FL</v>
      </c>
      <c r="E5265" s="2">
        <v>5.4698610655289298E-5</v>
      </c>
      <c r="F5265" s="2">
        <v>5.0377833753148602E-4</v>
      </c>
      <c r="G5265" s="2">
        <v>0</v>
      </c>
      <c r="H5265" s="2">
        <v>9.1852668320014605E-5</v>
      </c>
    </row>
    <row r="5266" spans="1:8" x14ac:dyDescent="0.25">
      <c r="A5266" s="1" t="str">
        <f>"33018"</f>
        <v>33018</v>
      </c>
      <c r="B5266" s="1" t="str">
        <f>"33124"</f>
        <v>33124</v>
      </c>
      <c r="C5266" s="1" t="str">
        <f>"HIALEAH"</f>
        <v>HIALEAH</v>
      </c>
      <c r="D5266" s="1" t="str">
        <f t="shared" si="394"/>
        <v>FL</v>
      </c>
      <c r="E5266" s="2">
        <v>0.99994530138934401</v>
      </c>
      <c r="F5266" s="2">
        <v>0.99949622166246799</v>
      </c>
      <c r="G5266" s="2">
        <v>1</v>
      </c>
      <c r="H5266" s="2">
        <v>0.99990814733167899</v>
      </c>
    </row>
    <row r="5267" spans="1:8" x14ac:dyDescent="0.25">
      <c r="A5267" s="1" t="str">
        <f>"33134"</f>
        <v>33134</v>
      </c>
      <c r="B5267" s="1" t="str">
        <f>"33124"</f>
        <v>33124</v>
      </c>
      <c r="C5267" s="1" t="str">
        <f>"MIAMI"</f>
        <v>MIAMI</v>
      </c>
      <c r="D5267" s="1" t="str">
        <f t="shared" si="394"/>
        <v>FL</v>
      </c>
      <c r="E5267" s="2">
        <v>1</v>
      </c>
      <c r="F5267" s="2">
        <v>1</v>
      </c>
      <c r="G5267" s="2">
        <v>1</v>
      </c>
      <c r="H5267" s="2">
        <v>1</v>
      </c>
    </row>
    <row r="5268" spans="1:8" x14ac:dyDescent="0.25">
      <c r="A5268" s="1" t="str">
        <f>"33135"</f>
        <v>33135</v>
      </c>
      <c r="B5268" s="1" t="str">
        <f>"33124"</f>
        <v>33124</v>
      </c>
      <c r="C5268" s="1" t="str">
        <f>"MIAMI"</f>
        <v>MIAMI</v>
      </c>
      <c r="D5268" s="1" t="str">
        <f t="shared" si="394"/>
        <v>FL</v>
      </c>
      <c r="E5268" s="2">
        <v>1</v>
      </c>
      <c r="F5268" s="2">
        <v>1</v>
      </c>
      <c r="G5268" s="2">
        <v>1</v>
      </c>
      <c r="H5268" s="2">
        <v>1</v>
      </c>
    </row>
    <row r="5269" spans="1:8" x14ac:dyDescent="0.25">
      <c r="A5269" s="1" t="str">
        <f>"33434"</f>
        <v>33434</v>
      </c>
      <c r="B5269" s="1" t="str">
        <f>"48424"</f>
        <v>48424</v>
      </c>
      <c r="C5269" s="1" t="str">
        <f>"BOCA RATON"</f>
        <v>BOCA RATON</v>
      </c>
      <c r="D5269" s="1" t="str">
        <f t="shared" si="394"/>
        <v>FL</v>
      </c>
      <c r="E5269" s="2">
        <v>1</v>
      </c>
      <c r="F5269" s="2">
        <v>1</v>
      </c>
      <c r="G5269" s="2">
        <v>1</v>
      </c>
      <c r="H5269" s="2">
        <v>1</v>
      </c>
    </row>
    <row r="5270" spans="1:8" x14ac:dyDescent="0.25">
      <c r="A5270" s="1" t="str">
        <f>"33402"</f>
        <v>33402</v>
      </c>
      <c r="B5270" s="1" t="str">
        <f>"48424"</f>
        <v>48424</v>
      </c>
      <c r="C5270" s="1" t="str">
        <f>"WEST PALM BEACH"</f>
        <v>WEST PALM BEACH</v>
      </c>
      <c r="D5270" s="1" t="str">
        <f t="shared" si="394"/>
        <v>FL</v>
      </c>
      <c r="E5270" s="2">
        <v>1</v>
      </c>
      <c r="F5270" s="2">
        <v>1</v>
      </c>
      <c r="G5270" s="2">
        <v>1</v>
      </c>
      <c r="H5270" s="2">
        <v>1</v>
      </c>
    </row>
    <row r="5271" spans="1:8" x14ac:dyDescent="0.25">
      <c r="A5271" s="1" t="str">
        <f>"33461"</f>
        <v>33461</v>
      </c>
      <c r="B5271" s="1" t="str">
        <f>"48424"</f>
        <v>48424</v>
      </c>
      <c r="C5271" s="1" t="str">
        <f>"LAKE WORTH"</f>
        <v>LAKE WORTH</v>
      </c>
      <c r="D5271" s="1" t="str">
        <f t="shared" si="394"/>
        <v>FL</v>
      </c>
      <c r="E5271" s="2">
        <v>1</v>
      </c>
      <c r="F5271" s="2">
        <v>1</v>
      </c>
      <c r="G5271" s="2">
        <v>1</v>
      </c>
      <c r="H5271" s="2">
        <v>1</v>
      </c>
    </row>
    <row r="5272" spans="1:8" x14ac:dyDescent="0.25">
      <c r="A5272" s="1" t="str">
        <f>"33308"</f>
        <v>33308</v>
      </c>
      <c r="B5272" s="1" t="str">
        <f>"22744"</f>
        <v>22744</v>
      </c>
      <c r="C5272" s="1" t="str">
        <f>"FORT LAUDERDALE"</f>
        <v>FORT LAUDERDALE</v>
      </c>
      <c r="D5272" s="1" t="str">
        <f t="shared" si="394"/>
        <v>FL</v>
      </c>
      <c r="E5272" s="2">
        <v>1</v>
      </c>
      <c r="F5272" s="2">
        <v>1</v>
      </c>
      <c r="G5272" s="2">
        <v>1</v>
      </c>
      <c r="H5272" s="2">
        <v>1</v>
      </c>
    </row>
    <row r="5273" spans="1:8" x14ac:dyDescent="0.25">
      <c r="A5273" s="1" t="str">
        <f>"33318"</f>
        <v>33318</v>
      </c>
      <c r="B5273" s="1" t="str">
        <f>"22744"</f>
        <v>22744</v>
      </c>
      <c r="C5273" s="1" t="str">
        <f>"FORT LAUDERDALE"</f>
        <v>FORT LAUDERDALE</v>
      </c>
      <c r="D5273" s="1" t="str">
        <f t="shared" si="394"/>
        <v>FL</v>
      </c>
      <c r="E5273" s="2">
        <v>1</v>
      </c>
      <c r="F5273" s="2">
        <v>1</v>
      </c>
      <c r="G5273" s="2">
        <v>1</v>
      </c>
      <c r="H5273" s="2">
        <v>1</v>
      </c>
    </row>
    <row r="5274" spans="1:8" x14ac:dyDescent="0.25">
      <c r="A5274" s="1" t="str">
        <f>"48059"</f>
        <v>48059</v>
      </c>
      <c r="B5274" s="1" t="str">
        <f t="shared" ref="B5274:B5280" si="395">"47664"</f>
        <v>47664</v>
      </c>
      <c r="C5274" s="1" t="str">
        <f>"FORT GRATIOT"</f>
        <v>FORT GRATIOT</v>
      </c>
      <c r="D5274" s="1" t="str">
        <f t="shared" ref="D5274:D5285" si="396">"MI"</f>
        <v>MI</v>
      </c>
      <c r="E5274" s="2">
        <v>1</v>
      </c>
      <c r="F5274" s="2">
        <v>1</v>
      </c>
      <c r="G5274" s="2">
        <v>1</v>
      </c>
      <c r="H5274" s="2">
        <v>1</v>
      </c>
    </row>
    <row r="5275" spans="1:8" x14ac:dyDescent="0.25">
      <c r="A5275" s="1" t="str">
        <f>"48012"</f>
        <v>48012</v>
      </c>
      <c r="B5275" s="1" t="str">
        <f t="shared" si="395"/>
        <v>47664</v>
      </c>
      <c r="C5275" s="1" t="str">
        <f>"BIRMINGHAM"</f>
        <v>BIRMINGHAM</v>
      </c>
      <c r="D5275" s="1" t="str">
        <f t="shared" si="396"/>
        <v>MI</v>
      </c>
      <c r="E5275" s="2">
        <v>1</v>
      </c>
      <c r="F5275" s="2">
        <v>1</v>
      </c>
      <c r="G5275" s="2">
        <v>1</v>
      </c>
      <c r="H5275" s="2">
        <v>1</v>
      </c>
    </row>
    <row r="5276" spans="1:8" x14ac:dyDescent="0.25">
      <c r="A5276" s="1" t="str">
        <f>"48001"</f>
        <v>48001</v>
      </c>
      <c r="B5276" s="1" t="str">
        <f t="shared" si="395"/>
        <v>47664</v>
      </c>
      <c r="C5276" s="1" t="str">
        <f>"ALGONAC"</f>
        <v>ALGONAC</v>
      </c>
      <c r="D5276" s="1" t="str">
        <f t="shared" si="396"/>
        <v>MI</v>
      </c>
      <c r="E5276" s="2">
        <v>1</v>
      </c>
      <c r="F5276" s="2">
        <v>1</v>
      </c>
      <c r="G5276" s="2">
        <v>1</v>
      </c>
      <c r="H5276" s="2">
        <v>1</v>
      </c>
    </row>
    <row r="5277" spans="1:8" x14ac:dyDescent="0.25">
      <c r="A5277" s="1" t="str">
        <f>"48064"</f>
        <v>48064</v>
      </c>
      <c r="B5277" s="1" t="str">
        <f t="shared" si="395"/>
        <v>47664</v>
      </c>
      <c r="C5277" s="1" t="str">
        <f>"CASCO"</f>
        <v>CASCO</v>
      </c>
      <c r="D5277" s="1" t="str">
        <f t="shared" si="396"/>
        <v>MI</v>
      </c>
      <c r="E5277" s="2">
        <v>1</v>
      </c>
      <c r="F5277" s="2">
        <v>1</v>
      </c>
      <c r="G5277" s="2">
        <v>1</v>
      </c>
      <c r="H5277" s="2">
        <v>1</v>
      </c>
    </row>
    <row r="5278" spans="1:8" x14ac:dyDescent="0.25">
      <c r="A5278" s="1" t="str">
        <f>"48336"</f>
        <v>48336</v>
      </c>
      <c r="B5278" s="1" t="str">
        <f t="shared" si="395"/>
        <v>47664</v>
      </c>
      <c r="C5278" s="1" t="str">
        <f>"FARMINGTON"</f>
        <v>FARMINGTON</v>
      </c>
      <c r="D5278" s="1" t="str">
        <f t="shared" si="396"/>
        <v>MI</v>
      </c>
      <c r="E5278" s="2">
        <v>1</v>
      </c>
      <c r="F5278" s="2">
        <v>1</v>
      </c>
      <c r="G5278" s="2">
        <v>1</v>
      </c>
      <c r="H5278" s="2">
        <v>1</v>
      </c>
    </row>
    <row r="5279" spans="1:8" x14ac:dyDescent="0.25">
      <c r="A5279" s="1" t="str">
        <f>"48335"</f>
        <v>48335</v>
      </c>
      <c r="B5279" s="1" t="str">
        <f t="shared" si="395"/>
        <v>47664</v>
      </c>
      <c r="C5279" s="1" t="str">
        <f>"FARMINGTON"</f>
        <v>FARMINGTON</v>
      </c>
      <c r="D5279" s="1" t="str">
        <f t="shared" si="396"/>
        <v>MI</v>
      </c>
      <c r="E5279" s="2">
        <v>1</v>
      </c>
      <c r="F5279" s="2">
        <v>1</v>
      </c>
      <c r="G5279" s="2">
        <v>1</v>
      </c>
      <c r="H5279" s="2">
        <v>1</v>
      </c>
    </row>
    <row r="5280" spans="1:8" x14ac:dyDescent="0.25">
      <c r="A5280" s="1" t="str">
        <f>"48346"</f>
        <v>48346</v>
      </c>
      <c r="B5280" s="1" t="str">
        <f t="shared" si="395"/>
        <v>47664</v>
      </c>
      <c r="C5280" s="1" t="str">
        <f>"CLARKSTON"</f>
        <v>CLARKSTON</v>
      </c>
      <c r="D5280" s="1" t="str">
        <f t="shared" si="396"/>
        <v>MI</v>
      </c>
      <c r="E5280" s="2">
        <v>1</v>
      </c>
      <c r="F5280" s="2">
        <v>1</v>
      </c>
      <c r="G5280" s="2">
        <v>1</v>
      </c>
      <c r="H5280" s="2">
        <v>1</v>
      </c>
    </row>
    <row r="5281" spans="1:8" x14ac:dyDescent="0.25">
      <c r="A5281" s="1" t="str">
        <f>"48240"</f>
        <v>48240</v>
      </c>
      <c r="B5281" s="1" t="str">
        <f>"19804"</f>
        <v>19804</v>
      </c>
      <c r="C5281" s="1" t="str">
        <f>"REDFORD"</f>
        <v>REDFORD</v>
      </c>
      <c r="D5281" s="1" t="str">
        <f t="shared" si="396"/>
        <v>MI</v>
      </c>
      <c r="E5281" s="2">
        <v>1</v>
      </c>
      <c r="F5281" s="2">
        <v>1</v>
      </c>
      <c r="G5281" s="2">
        <v>1</v>
      </c>
      <c r="H5281" s="2">
        <v>1</v>
      </c>
    </row>
    <row r="5282" spans="1:8" x14ac:dyDescent="0.25">
      <c r="A5282" s="1" t="str">
        <f>"48229"</f>
        <v>48229</v>
      </c>
      <c r="B5282" s="1" t="str">
        <f>"19804"</f>
        <v>19804</v>
      </c>
      <c r="C5282" s="1" t="str">
        <f>"ECORSE"</f>
        <v>ECORSE</v>
      </c>
      <c r="D5282" s="1" t="str">
        <f t="shared" si="396"/>
        <v>MI</v>
      </c>
      <c r="E5282" s="2">
        <v>1</v>
      </c>
      <c r="F5282" s="2">
        <v>1</v>
      </c>
      <c r="G5282" s="2">
        <v>1</v>
      </c>
      <c r="H5282" s="2">
        <v>1</v>
      </c>
    </row>
    <row r="5283" spans="1:8" x14ac:dyDescent="0.25">
      <c r="A5283" s="1" t="str">
        <f>"48428"</f>
        <v>48428</v>
      </c>
      <c r="B5283" s="1" t="str">
        <f>"47664"</f>
        <v>47664</v>
      </c>
      <c r="C5283" s="1" t="str">
        <f>"DRYDEN"</f>
        <v>DRYDEN</v>
      </c>
      <c r="D5283" s="1" t="str">
        <f t="shared" si="396"/>
        <v>MI</v>
      </c>
      <c r="E5283" s="2">
        <v>1</v>
      </c>
      <c r="F5283" s="2">
        <v>1</v>
      </c>
      <c r="G5283" s="2">
        <v>1</v>
      </c>
      <c r="H5283" s="2">
        <v>1</v>
      </c>
    </row>
    <row r="5284" spans="1:8" x14ac:dyDescent="0.25">
      <c r="A5284" s="1" t="str">
        <f>"48209"</f>
        <v>48209</v>
      </c>
      <c r="B5284" s="1" t="str">
        <f>"19804"</f>
        <v>19804</v>
      </c>
      <c r="C5284" s="1" t="str">
        <f>"DETROIT"</f>
        <v>DETROIT</v>
      </c>
      <c r="D5284" s="1" t="str">
        <f t="shared" si="396"/>
        <v>MI</v>
      </c>
      <c r="E5284" s="2">
        <v>1</v>
      </c>
      <c r="F5284" s="2">
        <v>1</v>
      </c>
      <c r="G5284" s="2">
        <v>1</v>
      </c>
      <c r="H5284" s="2">
        <v>1</v>
      </c>
    </row>
    <row r="5285" spans="1:8" x14ac:dyDescent="0.25">
      <c r="A5285" s="1" t="str">
        <f>"48214"</f>
        <v>48214</v>
      </c>
      <c r="B5285" s="1" t="str">
        <f>"19804"</f>
        <v>19804</v>
      </c>
      <c r="C5285" s="1" t="str">
        <f>"DETROIT"</f>
        <v>DETROIT</v>
      </c>
      <c r="D5285" s="1" t="str">
        <f t="shared" si="396"/>
        <v>MI</v>
      </c>
      <c r="E5285" s="2">
        <v>1</v>
      </c>
      <c r="F5285" s="2">
        <v>1</v>
      </c>
      <c r="G5285" s="2">
        <v>1</v>
      </c>
      <c r="H5285" s="2">
        <v>1</v>
      </c>
    </row>
    <row r="5286" spans="1:8" x14ac:dyDescent="0.25">
      <c r="A5286" s="1" t="str">
        <f>"60441"</f>
        <v>60441</v>
      </c>
      <c r="B5286" s="1" t="str">
        <f>"16984"</f>
        <v>16984</v>
      </c>
      <c r="C5286" s="1" t="str">
        <f>"LOCKPORT"</f>
        <v>LOCKPORT</v>
      </c>
      <c r="D5286" s="1" t="str">
        <f t="shared" ref="D5286:D5300" si="397">"IL"</f>
        <v>IL</v>
      </c>
      <c r="E5286" s="2">
        <v>1</v>
      </c>
      <c r="F5286" s="2">
        <v>1</v>
      </c>
      <c r="G5286" s="2">
        <v>1</v>
      </c>
      <c r="H5286" s="2">
        <v>1</v>
      </c>
    </row>
    <row r="5287" spans="1:8" x14ac:dyDescent="0.25">
      <c r="A5287" s="1" t="str">
        <f>"60487"</f>
        <v>60487</v>
      </c>
      <c r="B5287" s="1" t="str">
        <f>"16984"</f>
        <v>16984</v>
      </c>
      <c r="C5287" s="1" t="str">
        <f>"TINLEY PARK"</f>
        <v>TINLEY PARK</v>
      </c>
      <c r="D5287" s="1" t="str">
        <f t="shared" si="397"/>
        <v>IL</v>
      </c>
      <c r="E5287" s="2">
        <v>1</v>
      </c>
      <c r="F5287" s="2">
        <v>1</v>
      </c>
      <c r="G5287" s="2">
        <v>1</v>
      </c>
      <c r="H5287" s="2">
        <v>1</v>
      </c>
    </row>
    <row r="5288" spans="1:8" x14ac:dyDescent="0.25">
      <c r="A5288" s="1" t="str">
        <f>"60504"</f>
        <v>60504</v>
      </c>
      <c r="B5288" s="1" t="str">
        <f>"16984"</f>
        <v>16984</v>
      </c>
      <c r="C5288" s="1" t="str">
        <f>"AURORA"</f>
        <v>AURORA</v>
      </c>
      <c r="D5288" s="1" t="str">
        <f t="shared" si="397"/>
        <v>IL</v>
      </c>
      <c r="E5288" s="2">
        <v>0.76651427814218498</v>
      </c>
      <c r="F5288" s="2">
        <v>0.83513513513513504</v>
      </c>
      <c r="G5288" s="2">
        <v>0.79567779960707197</v>
      </c>
      <c r="H5288" s="2">
        <v>0.77458563535911595</v>
      </c>
    </row>
    <row r="5289" spans="1:8" x14ac:dyDescent="0.25">
      <c r="A5289" s="1" t="str">
        <f>"60504"</f>
        <v>60504</v>
      </c>
      <c r="B5289" s="1" t="str">
        <f>"20994"</f>
        <v>20994</v>
      </c>
      <c r="C5289" s="1" t="str">
        <f>"AURORA"</f>
        <v>AURORA</v>
      </c>
      <c r="D5289" s="1" t="str">
        <f t="shared" si="397"/>
        <v>IL</v>
      </c>
      <c r="E5289" s="2">
        <v>0.23348572185781399</v>
      </c>
      <c r="F5289" s="2">
        <v>0.16486486486486401</v>
      </c>
      <c r="G5289" s="2">
        <v>0.20432220039292701</v>
      </c>
      <c r="H5289" s="2">
        <v>0.22541436464088299</v>
      </c>
    </row>
    <row r="5290" spans="1:8" x14ac:dyDescent="0.25">
      <c r="A5290" s="1" t="str">
        <f>"60558"</f>
        <v>60558</v>
      </c>
      <c r="B5290" s="1" t="str">
        <f>"16984"</f>
        <v>16984</v>
      </c>
      <c r="C5290" s="1" t="str">
        <f>"WESTERN SPRINGS"</f>
        <v>WESTERN SPRINGS</v>
      </c>
      <c r="D5290" s="1" t="str">
        <f t="shared" si="397"/>
        <v>IL</v>
      </c>
      <c r="E5290" s="2">
        <v>1</v>
      </c>
      <c r="F5290" s="2">
        <v>1</v>
      </c>
      <c r="G5290" s="2">
        <v>1</v>
      </c>
      <c r="H5290" s="2">
        <v>1</v>
      </c>
    </row>
    <row r="5291" spans="1:8" x14ac:dyDescent="0.25">
      <c r="A5291" s="1" t="str">
        <f>"60051"</f>
        <v>60051</v>
      </c>
      <c r="B5291" s="1" t="str">
        <f>"29404"</f>
        <v>29404</v>
      </c>
      <c r="C5291" s="1" t="str">
        <f>"MCHENRY"</f>
        <v>MCHENRY</v>
      </c>
      <c r="D5291" s="1" t="str">
        <f t="shared" si="397"/>
        <v>IL</v>
      </c>
      <c r="E5291" s="2">
        <v>0.18264840182648401</v>
      </c>
      <c r="F5291" s="2">
        <v>0.18346957311534901</v>
      </c>
      <c r="G5291" s="2">
        <v>0.45229681978798503</v>
      </c>
      <c r="H5291" s="2">
        <v>0.18804613771408499</v>
      </c>
    </row>
    <row r="5292" spans="1:8" x14ac:dyDescent="0.25">
      <c r="A5292" s="1" t="str">
        <f>"60051"</f>
        <v>60051</v>
      </c>
      <c r="B5292" s="1" t="str">
        <f>"16984"</f>
        <v>16984</v>
      </c>
      <c r="C5292" s="1" t="str">
        <f>"MCHENRY"</f>
        <v>MCHENRY</v>
      </c>
      <c r="D5292" s="1" t="str">
        <f t="shared" si="397"/>
        <v>IL</v>
      </c>
      <c r="E5292" s="2">
        <v>0.81735159817351499</v>
      </c>
      <c r="F5292" s="2">
        <v>0.81653042688465005</v>
      </c>
      <c r="G5292" s="2">
        <v>0.54770318021201403</v>
      </c>
      <c r="H5292" s="2">
        <v>0.81195386228591404</v>
      </c>
    </row>
    <row r="5293" spans="1:8" x14ac:dyDescent="0.25">
      <c r="A5293" s="1" t="str">
        <f>"60126"</f>
        <v>60126</v>
      </c>
      <c r="B5293" s="1" t="str">
        <f>"16984"</f>
        <v>16984</v>
      </c>
      <c r="C5293" s="1" t="str">
        <f>"ELMHURST"</f>
        <v>ELMHURST</v>
      </c>
      <c r="D5293" s="1" t="str">
        <f t="shared" si="397"/>
        <v>IL</v>
      </c>
      <c r="E5293" s="2">
        <v>1</v>
      </c>
      <c r="F5293" s="2">
        <v>1</v>
      </c>
      <c r="G5293" s="2">
        <v>1</v>
      </c>
      <c r="H5293" s="2">
        <v>1</v>
      </c>
    </row>
    <row r="5294" spans="1:8" x14ac:dyDescent="0.25">
      <c r="A5294" s="1" t="str">
        <f>"60145"</f>
        <v>60145</v>
      </c>
      <c r="B5294" s="1" t="str">
        <f>"20994"</f>
        <v>20994</v>
      </c>
      <c r="C5294" s="1" t="str">
        <f>"KINGSTON"</f>
        <v>KINGSTON</v>
      </c>
      <c r="D5294" s="1" t="str">
        <f t="shared" si="397"/>
        <v>IL</v>
      </c>
      <c r="E5294" s="2">
        <v>1</v>
      </c>
      <c r="F5294" s="2">
        <v>1</v>
      </c>
      <c r="G5294" s="2">
        <v>1</v>
      </c>
      <c r="H5294" s="2">
        <v>1</v>
      </c>
    </row>
    <row r="5295" spans="1:8" x14ac:dyDescent="0.25">
      <c r="A5295" s="1" t="str">
        <f>"60015"</f>
        <v>60015</v>
      </c>
      <c r="B5295" s="1" t="str">
        <f>"16984"</f>
        <v>16984</v>
      </c>
      <c r="C5295" s="1" t="str">
        <f>"DEERFIELD"</f>
        <v>DEERFIELD</v>
      </c>
      <c r="D5295" s="1" t="str">
        <f t="shared" si="397"/>
        <v>IL</v>
      </c>
      <c r="E5295" s="2">
        <v>5.2636142906694397E-2</v>
      </c>
      <c r="F5295" s="2">
        <v>0.172351885098743</v>
      </c>
      <c r="G5295" s="2">
        <v>9.7510373443983403E-2</v>
      </c>
      <c r="H5295" s="2">
        <v>6.8834490317866204E-2</v>
      </c>
    </row>
    <row r="5296" spans="1:8" x14ac:dyDescent="0.25">
      <c r="A5296" s="1" t="str">
        <f>"60015"</f>
        <v>60015</v>
      </c>
      <c r="B5296" s="1" t="str">
        <f>"29404"</f>
        <v>29404</v>
      </c>
      <c r="C5296" s="1" t="str">
        <f>"DEERFIELD"</f>
        <v>DEERFIELD</v>
      </c>
      <c r="D5296" s="1" t="str">
        <f t="shared" si="397"/>
        <v>IL</v>
      </c>
      <c r="E5296" s="2">
        <v>0.94736385709330495</v>
      </c>
      <c r="F5296" s="2">
        <v>0.827648114901256</v>
      </c>
      <c r="G5296" s="2">
        <v>0.90248962655601594</v>
      </c>
      <c r="H5296" s="2">
        <v>0.93116550968213296</v>
      </c>
    </row>
    <row r="5297" spans="1:8" x14ac:dyDescent="0.25">
      <c r="A5297" s="1" t="str">
        <f>"60091"</f>
        <v>60091</v>
      </c>
      <c r="B5297" s="1" t="str">
        <f>"16984"</f>
        <v>16984</v>
      </c>
      <c r="C5297" s="1" t="str">
        <f>"WILMETTE"</f>
        <v>WILMETTE</v>
      </c>
      <c r="D5297" s="1" t="str">
        <f t="shared" si="397"/>
        <v>IL</v>
      </c>
      <c r="E5297" s="2">
        <v>1</v>
      </c>
      <c r="F5297" s="2">
        <v>1</v>
      </c>
      <c r="G5297" s="2">
        <v>1</v>
      </c>
      <c r="H5297" s="2">
        <v>1</v>
      </c>
    </row>
    <row r="5298" spans="1:8" x14ac:dyDescent="0.25">
      <c r="A5298" s="1" t="str">
        <f>"60071"</f>
        <v>60071</v>
      </c>
      <c r="B5298" s="1" t="str">
        <f>"16984"</f>
        <v>16984</v>
      </c>
      <c r="C5298" s="1" t="str">
        <f>"RICHMOND"</f>
        <v>RICHMOND</v>
      </c>
      <c r="D5298" s="1" t="str">
        <f t="shared" si="397"/>
        <v>IL</v>
      </c>
      <c r="E5298" s="2">
        <v>1</v>
      </c>
      <c r="F5298" s="2">
        <v>1</v>
      </c>
      <c r="G5298" s="2">
        <v>1</v>
      </c>
      <c r="H5298" s="2">
        <v>1</v>
      </c>
    </row>
    <row r="5299" spans="1:8" x14ac:dyDescent="0.25">
      <c r="A5299" s="1" t="str">
        <f>"60640"</f>
        <v>60640</v>
      </c>
      <c r="B5299" s="1" t="str">
        <f>"16984"</f>
        <v>16984</v>
      </c>
      <c r="C5299" s="1" t="str">
        <f>"CHICAGO"</f>
        <v>CHICAGO</v>
      </c>
      <c r="D5299" s="1" t="str">
        <f t="shared" si="397"/>
        <v>IL</v>
      </c>
      <c r="E5299" s="2">
        <v>1</v>
      </c>
      <c r="F5299" s="2">
        <v>1</v>
      </c>
      <c r="G5299" s="2">
        <v>1</v>
      </c>
      <c r="H5299" s="2">
        <v>1</v>
      </c>
    </row>
    <row r="5300" spans="1:8" x14ac:dyDescent="0.25">
      <c r="A5300" s="1" t="str">
        <f>"60642"</f>
        <v>60642</v>
      </c>
      <c r="B5300" s="1" t="str">
        <f>"16984"</f>
        <v>16984</v>
      </c>
      <c r="C5300" s="1" t="str">
        <f>"CHICAGO"</f>
        <v>CHICAGO</v>
      </c>
      <c r="D5300" s="1" t="str">
        <f t="shared" si="397"/>
        <v>IL</v>
      </c>
      <c r="E5300" s="2">
        <v>1</v>
      </c>
      <c r="F5300" s="2">
        <v>1</v>
      </c>
      <c r="G5300" s="2">
        <v>1</v>
      </c>
      <c r="H5300" s="2">
        <v>1</v>
      </c>
    </row>
    <row r="5301" spans="1:8" x14ac:dyDescent="0.25">
      <c r="A5301" s="1" t="str">
        <f>"75010"</f>
        <v>75010</v>
      </c>
      <c r="B5301" s="1" t="str">
        <f>"19124"</f>
        <v>19124</v>
      </c>
      <c r="C5301" s="1" t="str">
        <f>"CARROLLTON"</f>
        <v>CARROLLTON</v>
      </c>
      <c r="D5301" s="1" t="str">
        <f t="shared" ref="D5301:D5313" si="398">"TX"</f>
        <v>TX</v>
      </c>
      <c r="E5301" s="2">
        <v>1</v>
      </c>
      <c r="F5301" s="2">
        <v>1</v>
      </c>
      <c r="G5301" s="2">
        <v>1</v>
      </c>
      <c r="H5301" s="2">
        <v>1</v>
      </c>
    </row>
    <row r="5302" spans="1:8" x14ac:dyDescent="0.25">
      <c r="A5302" s="1" t="str">
        <f>"75052"</f>
        <v>75052</v>
      </c>
      <c r="B5302" s="1" t="str">
        <f>"23104"</f>
        <v>23104</v>
      </c>
      <c r="C5302" s="1" t="str">
        <f>"GRAND PRAIRIE"</f>
        <v>GRAND PRAIRIE</v>
      </c>
      <c r="D5302" s="1" t="str">
        <f t="shared" si="398"/>
        <v>TX</v>
      </c>
      <c r="E5302" s="2">
        <v>0.40061847480708102</v>
      </c>
      <c r="F5302" s="2">
        <v>0.58588235294117597</v>
      </c>
      <c r="G5302" s="2">
        <v>0.61953352769679304</v>
      </c>
      <c r="H5302" s="2">
        <v>0.41100271439705399</v>
      </c>
    </row>
    <row r="5303" spans="1:8" x14ac:dyDescent="0.25">
      <c r="A5303" s="1" t="str">
        <f>"75052"</f>
        <v>75052</v>
      </c>
      <c r="B5303" s="1" t="str">
        <f t="shared" ref="B5303:B5309" si="399">"19124"</f>
        <v>19124</v>
      </c>
      <c r="C5303" s="1" t="str">
        <f>"GRAND PRAIRIE"</f>
        <v>GRAND PRAIRIE</v>
      </c>
      <c r="D5303" s="1" t="str">
        <f t="shared" si="398"/>
        <v>TX</v>
      </c>
      <c r="E5303" s="2">
        <v>0.59938152519291799</v>
      </c>
      <c r="F5303" s="2">
        <v>0.41411764705882298</v>
      </c>
      <c r="G5303" s="2">
        <v>0.38046647230320602</v>
      </c>
      <c r="H5303" s="2">
        <v>0.58899728560294495</v>
      </c>
    </row>
    <row r="5304" spans="1:8" x14ac:dyDescent="0.25">
      <c r="A5304" s="1" t="str">
        <f>"75287"</f>
        <v>75287</v>
      </c>
      <c r="B5304" s="1" t="str">
        <f t="shared" si="399"/>
        <v>19124</v>
      </c>
      <c r="C5304" s="1" t="str">
        <f>"DALLAS"</f>
        <v>DALLAS</v>
      </c>
      <c r="D5304" s="1" t="str">
        <f t="shared" si="398"/>
        <v>TX</v>
      </c>
      <c r="E5304" s="2">
        <v>1</v>
      </c>
      <c r="F5304" s="2">
        <v>1</v>
      </c>
      <c r="G5304" s="2">
        <v>1</v>
      </c>
      <c r="H5304" s="2">
        <v>1</v>
      </c>
    </row>
    <row r="5305" spans="1:8" x14ac:dyDescent="0.25">
      <c r="A5305" s="1" t="str">
        <f>"75114"</f>
        <v>75114</v>
      </c>
      <c r="B5305" s="1" t="str">
        <f t="shared" si="399"/>
        <v>19124</v>
      </c>
      <c r="C5305" s="1" t="str">
        <f>"CRANDALL"</f>
        <v>CRANDALL</v>
      </c>
      <c r="D5305" s="1" t="str">
        <f t="shared" si="398"/>
        <v>TX</v>
      </c>
      <c r="E5305" s="2">
        <v>1</v>
      </c>
      <c r="F5305" s="2">
        <v>1</v>
      </c>
      <c r="G5305" s="2">
        <v>1</v>
      </c>
      <c r="H5305" s="2">
        <v>1</v>
      </c>
    </row>
    <row r="5306" spans="1:8" x14ac:dyDescent="0.25">
      <c r="A5306" s="1" t="str">
        <f>"75137"</f>
        <v>75137</v>
      </c>
      <c r="B5306" s="1" t="str">
        <f t="shared" si="399"/>
        <v>19124</v>
      </c>
      <c r="C5306" s="1" t="str">
        <f>"DUNCANVILLE"</f>
        <v>DUNCANVILLE</v>
      </c>
      <c r="D5306" s="1" t="str">
        <f t="shared" si="398"/>
        <v>TX</v>
      </c>
      <c r="E5306" s="2">
        <v>1</v>
      </c>
      <c r="F5306" s="2">
        <v>1</v>
      </c>
      <c r="G5306" s="2">
        <v>1</v>
      </c>
      <c r="H5306" s="2">
        <v>1</v>
      </c>
    </row>
    <row r="5307" spans="1:8" x14ac:dyDescent="0.25">
      <c r="A5307" s="1" t="str">
        <f>"75080"</f>
        <v>75080</v>
      </c>
      <c r="B5307" s="1" t="str">
        <f t="shared" si="399"/>
        <v>19124</v>
      </c>
      <c r="C5307" s="1" t="str">
        <f>"RICHARDSON"</f>
        <v>RICHARDSON</v>
      </c>
      <c r="D5307" s="1" t="str">
        <f t="shared" si="398"/>
        <v>TX</v>
      </c>
      <c r="E5307" s="2">
        <v>1</v>
      </c>
      <c r="F5307" s="2">
        <v>1</v>
      </c>
      <c r="G5307" s="2">
        <v>1</v>
      </c>
      <c r="H5307" s="2">
        <v>1</v>
      </c>
    </row>
    <row r="5308" spans="1:8" x14ac:dyDescent="0.25">
      <c r="A5308" s="1" t="str">
        <f>"75442"</f>
        <v>75442</v>
      </c>
      <c r="B5308" s="1" t="str">
        <f t="shared" si="399"/>
        <v>19124</v>
      </c>
      <c r="C5308" s="1" t="str">
        <f>"FARMERSVILLE"</f>
        <v>FARMERSVILLE</v>
      </c>
      <c r="D5308" s="1" t="str">
        <f t="shared" si="398"/>
        <v>TX</v>
      </c>
      <c r="E5308" s="2">
        <v>1</v>
      </c>
      <c r="F5308" s="2">
        <v>1</v>
      </c>
      <c r="G5308" s="2">
        <v>1</v>
      </c>
      <c r="H5308" s="2">
        <v>1</v>
      </c>
    </row>
    <row r="5309" spans="1:8" x14ac:dyDescent="0.25">
      <c r="A5309" s="1" t="str">
        <f>"75449"</f>
        <v>75449</v>
      </c>
      <c r="B5309" s="1" t="str">
        <f t="shared" si="399"/>
        <v>19124</v>
      </c>
      <c r="C5309" s="1" t="str">
        <f>"LADONIA"</f>
        <v>LADONIA</v>
      </c>
      <c r="D5309" s="1" t="str">
        <f t="shared" si="398"/>
        <v>TX</v>
      </c>
      <c r="E5309" s="2">
        <v>1</v>
      </c>
      <c r="F5309" s="2">
        <v>1</v>
      </c>
      <c r="G5309" s="2">
        <v>0</v>
      </c>
      <c r="H5309" s="2">
        <v>1</v>
      </c>
    </row>
    <row r="5310" spans="1:8" x14ac:dyDescent="0.25">
      <c r="A5310" s="1" t="str">
        <f>"76054"</f>
        <v>76054</v>
      </c>
      <c r="B5310" s="1" t="str">
        <f>"23104"</f>
        <v>23104</v>
      </c>
      <c r="C5310" s="1" t="str">
        <f>"HURST"</f>
        <v>HURST</v>
      </c>
      <c r="D5310" s="1" t="str">
        <f t="shared" si="398"/>
        <v>TX</v>
      </c>
      <c r="E5310" s="2">
        <v>1</v>
      </c>
      <c r="F5310" s="2">
        <v>1</v>
      </c>
      <c r="G5310" s="2">
        <v>1</v>
      </c>
      <c r="H5310" s="2">
        <v>1</v>
      </c>
    </row>
    <row r="5311" spans="1:8" x14ac:dyDescent="0.25">
      <c r="A5311" s="1" t="str">
        <f>"76036"</f>
        <v>76036</v>
      </c>
      <c r="B5311" s="1" t="str">
        <f>"23104"</f>
        <v>23104</v>
      </c>
      <c r="C5311" s="1" t="str">
        <f>"CROWLEY"</f>
        <v>CROWLEY</v>
      </c>
      <c r="D5311" s="1" t="str">
        <f t="shared" si="398"/>
        <v>TX</v>
      </c>
      <c r="E5311" s="2">
        <v>1</v>
      </c>
      <c r="F5311" s="2">
        <v>1</v>
      </c>
      <c r="G5311" s="2">
        <v>1</v>
      </c>
      <c r="H5311" s="2">
        <v>1</v>
      </c>
    </row>
    <row r="5312" spans="1:8" x14ac:dyDescent="0.25">
      <c r="A5312" s="1" t="str">
        <f>"76106"</f>
        <v>76106</v>
      </c>
      <c r="B5312" s="1" t="str">
        <f>"23104"</f>
        <v>23104</v>
      </c>
      <c r="C5312" s="1" t="str">
        <f>"FORT WORTH"</f>
        <v>FORT WORTH</v>
      </c>
      <c r="D5312" s="1" t="str">
        <f t="shared" si="398"/>
        <v>TX</v>
      </c>
      <c r="E5312" s="2">
        <v>1</v>
      </c>
      <c r="F5312" s="2">
        <v>1</v>
      </c>
      <c r="G5312" s="2">
        <v>1</v>
      </c>
      <c r="H5312" s="2">
        <v>1</v>
      </c>
    </row>
    <row r="5313" spans="1:8" x14ac:dyDescent="0.25">
      <c r="A5313" s="1" t="str">
        <f>"76001"</f>
        <v>76001</v>
      </c>
      <c r="B5313" s="1" t="str">
        <f>"23104"</f>
        <v>23104</v>
      </c>
      <c r="C5313" s="1" t="str">
        <f>"ARLINGTON"</f>
        <v>ARLINGTON</v>
      </c>
      <c r="D5313" s="1" t="str">
        <f t="shared" si="398"/>
        <v>TX</v>
      </c>
      <c r="E5313" s="2">
        <v>1</v>
      </c>
      <c r="F5313" s="2">
        <v>1</v>
      </c>
      <c r="G5313" s="2">
        <v>1</v>
      </c>
      <c r="H5313" s="2">
        <v>1</v>
      </c>
    </row>
    <row r="5314" spans="1:8" x14ac:dyDescent="0.25">
      <c r="A5314" s="1" t="str">
        <f>"90209"</f>
        <v>90209</v>
      </c>
      <c r="B5314" s="1" t="str">
        <f>"31084"</f>
        <v>31084</v>
      </c>
      <c r="C5314" s="1" t="str">
        <f>"BEVERLY HILLS"</f>
        <v>BEVERLY HILLS</v>
      </c>
      <c r="D5314" s="1" t="str">
        <f t="shared" ref="D5314:D5327" si="400">"CA"</f>
        <v>CA</v>
      </c>
      <c r="E5314" s="2">
        <v>1</v>
      </c>
      <c r="F5314" s="2">
        <v>1</v>
      </c>
      <c r="G5314" s="2">
        <v>1</v>
      </c>
      <c r="H5314" s="2">
        <v>1</v>
      </c>
    </row>
    <row r="5315" spans="1:8" x14ac:dyDescent="0.25">
      <c r="A5315" s="1" t="str">
        <f>"91606"</f>
        <v>91606</v>
      </c>
      <c r="B5315" s="1" t="str">
        <f>"31084"</f>
        <v>31084</v>
      </c>
      <c r="C5315" s="1" t="str">
        <f>"NORTH HOLLYWOOD"</f>
        <v>NORTH HOLLYWOOD</v>
      </c>
      <c r="D5315" s="1" t="str">
        <f t="shared" si="400"/>
        <v>CA</v>
      </c>
      <c r="E5315" s="2">
        <v>1</v>
      </c>
      <c r="F5315" s="2">
        <v>1</v>
      </c>
      <c r="G5315" s="2">
        <v>1</v>
      </c>
      <c r="H5315" s="2">
        <v>1</v>
      </c>
    </row>
    <row r="5316" spans="1:8" x14ac:dyDescent="0.25">
      <c r="A5316" s="1" t="str">
        <f>"91306"</f>
        <v>91306</v>
      </c>
      <c r="B5316" s="1" t="str">
        <f>"31084"</f>
        <v>31084</v>
      </c>
      <c r="C5316" s="1" t="str">
        <f>"WINNETKA"</f>
        <v>WINNETKA</v>
      </c>
      <c r="D5316" s="1" t="str">
        <f t="shared" si="400"/>
        <v>CA</v>
      </c>
      <c r="E5316" s="2">
        <v>1</v>
      </c>
      <c r="F5316" s="2">
        <v>1</v>
      </c>
      <c r="G5316" s="2">
        <v>1</v>
      </c>
      <c r="H5316" s="2">
        <v>1</v>
      </c>
    </row>
    <row r="5317" spans="1:8" x14ac:dyDescent="0.25">
      <c r="A5317" s="1" t="str">
        <f>"91409"</f>
        <v>91409</v>
      </c>
      <c r="B5317" s="1" t="str">
        <f>"31084"</f>
        <v>31084</v>
      </c>
      <c r="C5317" s="1" t="str">
        <f>"VAN NUYS"</f>
        <v>VAN NUYS</v>
      </c>
      <c r="D5317" s="1" t="str">
        <f t="shared" si="400"/>
        <v>CA</v>
      </c>
      <c r="E5317" s="2">
        <v>1</v>
      </c>
      <c r="F5317" s="2">
        <v>1</v>
      </c>
      <c r="G5317" s="2">
        <v>1</v>
      </c>
      <c r="H5317" s="2">
        <v>1</v>
      </c>
    </row>
    <row r="5318" spans="1:8" x14ac:dyDescent="0.25">
      <c r="A5318" s="1" t="str">
        <f>"92706"</f>
        <v>92706</v>
      </c>
      <c r="B5318" s="1" t="str">
        <f>"11244"</f>
        <v>11244</v>
      </c>
      <c r="C5318" s="1" t="str">
        <f>"SANTA ANA"</f>
        <v>SANTA ANA</v>
      </c>
      <c r="D5318" s="1" t="str">
        <f t="shared" si="400"/>
        <v>CA</v>
      </c>
      <c r="E5318" s="2">
        <v>1</v>
      </c>
      <c r="F5318" s="2">
        <v>1</v>
      </c>
      <c r="G5318" s="2">
        <v>1</v>
      </c>
      <c r="H5318" s="2">
        <v>1</v>
      </c>
    </row>
    <row r="5319" spans="1:8" x14ac:dyDescent="0.25">
      <c r="A5319" s="1" t="str">
        <f>"92807"</f>
        <v>92807</v>
      </c>
      <c r="B5319" s="1" t="str">
        <f>"11244"</f>
        <v>11244</v>
      </c>
      <c r="C5319" s="1" t="str">
        <f>"ANAHEIM"</f>
        <v>ANAHEIM</v>
      </c>
      <c r="D5319" s="1" t="str">
        <f t="shared" si="400"/>
        <v>CA</v>
      </c>
      <c r="E5319" s="2">
        <v>1</v>
      </c>
      <c r="F5319" s="2">
        <v>1</v>
      </c>
      <c r="G5319" s="2">
        <v>1</v>
      </c>
      <c r="H5319" s="2">
        <v>1</v>
      </c>
    </row>
    <row r="5320" spans="1:8" x14ac:dyDescent="0.25">
      <c r="A5320" s="1" t="str">
        <f>"91750"</f>
        <v>91750</v>
      </c>
      <c r="B5320" s="1" t="str">
        <f>"31084"</f>
        <v>31084</v>
      </c>
      <c r="C5320" s="1" t="str">
        <f>"LA VERNE"</f>
        <v>LA VERNE</v>
      </c>
      <c r="D5320" s="1" t="str">
        <f t="shared" si="400"/>
        <v>CA</v>
      </c>
      <c r="E5320" s="2">
        <v>1</v>
      </c>
      <c r="F5320" s="2">
        <v>1</v>
      </c>
      <c r="G5320" s="2">
        <v>1</v>
      </c>
      <c r="H5320" s="2">
        <v>1</v>
      </c>
    </row>
    <row r="5321" spans="1:8" x14ac:dyDescent="0.25">
      <c r="A5321" s="1" t="str">
        <f>"92866"</f>
        <v>92866</v>
      </c>
      <c r="B5321" s="1" t="str">
        <f>"11244"</f>
        <v>11244</v>
      </c>
      <c r="C5321" s="1" t="str">
        <f>"ORANGE"</f>
        <v>ORANGE</v>
      </c>
      <c r="D5321" s="1" t="str">
        <f t="shared" si="400"/>
        <v>CA</v>
      </c>
      <c r="E5321" s="2">
        <v>1</v>
      </c>
      <c r="F5321" s="2">
        <v>1</v>
      </c>
      <c r="G5321" s="2">
        <v>1</v>
      </c>
      <c r="H5321" s="2">
        <v>1</v>
      </c>
    </row>
    <row r="5322" spans="1:8" x14ac:dyDescent="0.25">
      <c r="A5322" s="1" t="str">
        <f>"91791"</f>
        <v>91791</v>
      </c>
      <c r="B5322" s="1" t="str">
        <f>"31084"</f>
        <v>31084</v>
      </c>
      <c r="C5322" s="1" t="str">
        <f>"WEST COVINA"</f>
        <v>WEST COVINA</v>
      </c>
      <c r="D5322" s="1" t="str">
        <f t="shared" si="400"/>
        <v>CA</v>
      </c>
      <c r="E5322" s="2">
        <v>1</v>
      </c>
      <c r="F5322" s="2">
        <v>1</v>
      </c>
      <c r="G5322" s="2">
        <v>1</v>
      </c>
      <c r="H5322" s="2">
        <v>1</v>
      </c>
    </row>
    <row r="5323" spans="1:8" x14ac:dyDescent="0.25">
      <c r="A5323" s="1" t="str">
        <f>"92616"</f>
        <v>92616</v>
      </c>
      <c r="B5323" s="1" t="str">
        <f>"11244"</f>
        <v>11244</v>
      </c>
      <c r="C5323" s="1" t="str">
        <f>"IRVINE"</f>
        <v>IRVINE</v>
      </c>
      <c r="D5323" s="1" t="str">
        <f t="shared" si="400"/>
        <v>CA</v>
      </c>
      <c r="E5323" s="2">
        <v>1</v>
      </c>
      <c r="F5323" s="2">
        <v>1</v>
      </c>
      <c r="G5323" s="2">
        <v>1</v>
      </c>
      <c r="H5323" s="2">
        <v>1</v>
      </c>
    </row>
    <row r="5324" spans="1:8" x14ac:dyDescent="0.25">
      <c r="A5324" s="1" t="str">
        <f>"94904"</f>
        <v>94904</v>
      </c>
      <c r="B5324" s="1" t="str">
        <f>"42034"</f>
        <v>42034</v>
      </c>
      <c r="C5324" s="1" t="str">
        <f>"GREENBRAE"</f>
        <v>GREENBRAE</v>
      </c>
      <c r="D5324" s="1" t="str">
        <f t="shared" si="400"/>
        <v>CA</v>
      </c>
      <c r="E5324" s="2">
        <v>1</v>
      </c>
      <c r="F5324" s="2">
        <v>1</v>
      </c>
      <c r="G5324" s="2">
        <v>1</v>
      </c>
      <c r="H5324" s="2">
        <v>1</v>
      </c>
    </row>
    <row r="5325" spans="1:8" x14ac:dyDescent="0.25">
      <c r="A5325" s="1" t="str">
        <f>"94949"</f>
        <v>94949</v>
      </c>
      <c r="B5325" s="1" t="str">
        <f>"42034"</f>
        <v>42034</v>
      </c>
      <c r="C5325" s="1" t="str">
        <f>"NOVATO"</f>
        <v>NOVATO</v>
      </c>
      <c r="D5325" s="1" t="str">
        <f t="shared" si="400"/>
        <v>CA</v>
      </c>
      <c r="E5325" s="2">
        <v>1</v>
      </c>
      <c r="F5325" s="2">
        <v>1</v>
      </c>
      <c r="G5325" s="2">
        <v>1</v>
      </c>
      <c r="H5325" s="2">
        <v>1</v>
      </c>
    </row>
    <row r="5326" spans="1:8" x14ac:dyDescent="0.25">
      <c r="A5326" s="1" t="str">
        <f>"94702"</f>
        <v>94702</v>
      </c>
      <c r="B5326" s="1" t="str">
        <f>"36084"</f>
        <v>36084</v>
      </c>
      <c r="C5326" s="1" t="str">
        <f>"BERKELEY"</f>
        <v>BERKELEY</v>
      </c>
      <c r="D5326" s="1" t="str">
        <f t="shared" si="400"/>
        <v>CA</v>
      </c>
      <c r="E5326" s="2">
        <v>1</v>
      </c>
      <c r="F5326" s="2">
        <v>1</v>
      </c>
      <c r="G5326" s="2">
        <v>1</v>
      </c>
      <c r="H5326" s="2">
        <v>1</v>
      </c>
    </row>
    <row r="5327" spans="1:8" x14ac:dyDescent="0.25">
      <c r="A5327" s="1" t="str">
        <f>"94605"</f>
        <v>94605</v>
      </c>
      <c r="B5327" s="1" t="str">
        <f>"36084"</f>
        <v>36084</v>
      </c>
      <c r="C5327" s="1" t="str">
        <f>"OAKLAND"</f>
        <v>OAKLAND</v>
      </c>
      <c r="D5327" s="1" t="str">
        <f t="shared" si="400"/>
        <v>CA</v>
      </c>
      <c r="E5327" s="2">
        <v>1</v>
      </c>
      <c r="F5327" s="2">
        <v>1</v>
      </c>
      <c r="G5327" s="2">
        <v>1</v>
      </c>
      <c r="H5327" s="2">
        <v>1</v>
      </c>
    </row>
    <row r="5328" spans="1:8" x14ac:dyDescent="0.25">
      <c r="A5328" s="1" t="str">
        <f>"98023"</f>
        <v>98023</v>
      </c>
      <c r="B5328" s="1" t="str">
        <f>"45104"</f>
        <v>45104</v>
      </c>
      <c r="C5328" s="1" t="str">
        <f>"FEDERAL WAY"</f>
        <v>FEDERAL WAY</v>
      </c>
      <c r="D5328" s="1" t="str">
        <f t="shared" ref="D5328:D5333" si="401">"WA"</f>
        <v>WA</v>
      </c>
      <c r="E5328" s="2">
        <v>3.7487281101054903E-4</v>
      </c>
      <c r="F5328" s="2">
        <v>0</v>
      </c>
      <c r="G5328" s="2">
        <v>0</v>
      </c>
      <c r="H5328" s="2">
        <v>3.5098275170477298E-4</v>
      </c>
    </row>
    <row r="5329" spans="1:8" x14ac:dyDescent="0.25">
      <c r="A5329" s="1" t="str">
        <f>"98023"</f>
        <v>98023</v>
      </c>
      <c r="B5329" s="1" t="str">
        <f>"42644"</f>
        <v>42644</v>
      </c>
      <c r="C5329" s="1" t="str">
        <f>"FEDERAL WAY"</f>
        <v>FEDERAL WAY</v>
      </c>
      <c r="D5329" s="1" t="str">
        <f t="shared" si="401"/>
        <v>WA</v>
      </c>
      <c r="E5329" s="2">
        <v>0.99962512718898899</v>
      </c>
      <c r="F5329" s="2">
        <v>1</v>
      </c>
      <c r="G5329" s="2">
        <v>1</v>
      </c>
      <c r="H5329" s="2">
        <v>0.99964901724829502</v>
      </c>
    </row>
    <row r="5330" spans="1:8" x14ac:dyDescent="0.25">
      <c r="A5330" s="1" t="str">
        <f>"98134"</f>
        <v>98134</v>
      </c>
      <c r="B5330" s="1" t="str">
        <f>"42644"</f>
        <v>42644</v>
      </c>
      <c r="C5330" s="1" t="str">
        <f>"SEATTLE"</f>
        <v>SEATTLE</v>
      </c>
      <c r="D5330" s="1" t="str">
        <f t="shared" si="401"/>
        <v>WA</v>
      </c>
      <c r="E5330" s="2">
        <v>1</v>
      </c>
      <c r="F5330" s="2">
        <v>1</v>
      </c>
      <c r="G5330" s="2">
        <v>1</v>
      </c>
      <c r="H5330" s="2">
        <v>1</v>
      </c>
    </row>
    <row r="5331" spans="1:8" x14ac:dyDescent="0.25">
      <c r="A5331" s="1" t="str">
        <f>"98204"</f>
        <v>98204</v>
      </c>
      <c r="B5331" s="1" t="str">
        <f>"42644"</f>
        <v>42644</v>
      </c>
      <c r="C5331" s="1" t="str">
        <f>"EVERETT"</f>
        <v>EVERETT</v>
      </c>
      <c r="D5331" s="1" t="str">
        <f t="shared" si="401"/>
        <v>WA</v>
      </c>
      <c r="E5331" s="2">
        <v>1</v>
      </c>
      <c r="F5331" s="2">
        <v>1</v>
      </c>
      <c r="G5331" s="2">
        <v>1</v>
      </c>
      <c r="H5331" s="2">
        <v>1</v>
      </c>
    </row>
    <row r="5332" spans="1:8" x14ac:dyDescent="0.25">
      <c r="A5332" s="1" t="str">
        <f>"98118"</f>
        <v>98118</v>
      </c>
      <c r="B5332" s="1" t="str">
        <f>"42644"</f>
        <v>42644</v>
      </c>
      <c r="C5332" s="1" t="str">
        <f>"SEATTLE"</f>
        <v>SEATTLE</v>
      </c>
      <c r="D5332" s="1" t="str">
        <f t="shared" si="401"/>
        <v>WA</v>
      </c>
      <c r="E5332" s="2">
        <v>1</v>
      </c>
      <c r="F5332" s="2">
        <v>1</v>
      </c>
      <c r="G5332" s="2">
        <v>1</v>
      </c>
      <c r="H5332" s="2">
        <v>1</v>
      </c>
    </row>
    <row r="5333" spans="1:8" x14ac:dyDescent="0.25">
      <c r="A5333" s="1" t="str">
        <f>"98439"</f>
        <v>98439</v>
      </c>
      <c r="B5333" s="1" t="str">
        <f>"45104"</f>
        <v>45104</v>
      </c>
      <c r="C5333" s="1" t="str">
        <f>"LAKEWOOD"</f>
        <v>LAKEWOOD</v>
      </c>
      <c r="D5333" s="1" t="str">
        <f t="shared" si="401"/>
        <v>WA</v>
      </c>
      <c r="E5333" s="2">
        <v>1</v>
      </c>
      <c r="F5333" s="2">
        <v>1</v>
      </c>
      <c r="G5333" s="2">
        <v>1</v>
      </c>
      <c r="H5333" s="2">
        <v>1</v>
      </c>
    </row>
    <row r="5334" spans="1:8" x14ac:dyDescent="0.25">
      <c r="A5334" s="1" t="str">
        <f>"02112"</f>
        <v>02112</v>
      </c>
      <c r="B5334" s="1" t="str">
        <f>"14454"</f>
        <v>14454</v>
      </c>
      <c r="C5334" s="1" t="str">
        <f>"BOSTON"</f>
        <v>BOSTON</v>
      </c>
      <c r="D5334" s="1" t="str">
        <f>"MA"</f>
        <v>MA</v>
      </c>
      <c r="E5334" s="2">
        <v>1</v>
      </c>
      <c r="F5334" s="2">
        <v>1</v>
      </c>
      <c r="G5334" s="2">
        <v>1</v>
      </c>
      <c r="H5334" s="2">
        <v>1</v>
      </c>
    </row>
    <row r="5335" spans="1:8" x14ac:dyDescent="0.25">
      <c r="A5335" s="1" t="str">
        <f>"08558"</f>
        <v>08558</v>
      </c>
      <c r="B5335" s="1" t="str">
        <f>"35084"</f>
        <v>35084</v>
      </c>
      <c r="C5335" s="1" t="str">
        <f>"SKILLMAN"</f>
        <v>SKILLMAN</v>
      </c>
      <c r="D5335" s="1" t="str">
        <f>"NJ"</f>
        <v>NJ</v>
      </c>
      <c r="E5335" s="2">
        <v>1.6313213703099501E-3</v>
      </c>
      <c r="F5335" s="2">
        <v>0</v>
      </c>
      <c r="G5335" s="2">
        <v>0</v>
      </c>
      <c r="H5335" s="2">
        <v>1.4560279557367501E-3</v>
      </c>
    </row>
    <row r="5336" spans="1:8" x14ac:dyDescent="0.25">
      <c r="A5336" s="1" t="str">
        <f>"08558"</f>
        <v>08558</v>
      </c>
      <c r="B5336" s="1" t="str">
        <f>"35154"</f>
        <v>35154</v>
      </c>
      <c r="C5336" s="1" t="str">
        <f>"SKILLMAN"</f>
        <v>SKILLMAN</v>
      </c>
      <c r="D5336" s="1" t="str">
        <f>"NJ"</f>
        <v>NJ</v>
      </c>
      <c r="E5336" s="2">
        <v>0.99836867862969003</v>
      </c>
      <c r="F5336" s="2">
        <v>1</v>
      </c>
      <c r="G5336" s="2">
        <v>1</v>
      </c>
      <c r="H5336" s="2">
        <v>0.99854397204426304</v>
      </c>
    </row>
    <row r="5337" spans="1:8" x14ac:dyDescent="0.25">
      <c r="A5337" s="1" t="str">
        <f>"08853"</f>
        <v>08853</v>
      </c>
      <c r="B5337" s="1" t="str">
        <f>"35084"</f>
        <v>35084</v>
      </c>
      <c r="C5337" s="1" t="str">
        <f>"NESHANIC STATION"</f>
        <v>NESHANIC STATION</v>
      </c>
      <c r="D5337" s="1" t="str">
        <f>"NJ"</f>
        <v>NJ</v>
      </c>
      <c r="E5337" s="2">
        <v>0.13099041533546299</v>
      </c>
      <c r="F5337" s="2">
        <v>0.46153846153846101</v>
      </c>
      <c r="G5337" s="2">
        <v>0.33333333333333298</v>
      </c>
      <c r="H5337" s="2">
        <v>0.13735691987512999</v>
      </c>
    </row>
    <row r="5338" spans="1:8" x14ac:dyDescent="0.25">
      <c r="A5338" s="1" t="str">
        <f>"08853"</f>
        <v>08853</v>
      </c>
      <c r="B5338" s="1" t="str">
        <f>"35154"</f>
        <v>35154</v>
      </c>
      <c r="C5338" s="1" t="str">
        <f>"NESHANIC STATION"</f>
        <v>NESHANIC STATION</v>
      </c>
      <c r="D5338" s="1" t="str">
        <f>"NJ"</f>
        <v>NJ</v>
      </c>
      <c r="E5338" s="2">
        <v>0.86900958466453604</v>
      </c>
      <c r="F5338" s="2">
        <v>0.53846153846153799</v>
      </c>
      <c r="G5338" s="2">
        <v>0.66666666666666596</v>
      </c>
      <c r="H5338" s="2">
        <v>0.86264308012486901</v>
      </c>
    </row>
    <row r="5339" spans="1:8" x14ac:dyDescent="0.25">
      <c r="A5339" s="1" t="str">
        <f>"18325"</f>
        <v>18325</v>
      </c>
      <c r="B5339" s="1" t="str">
        <f>"35084"</f>
        <v>35084</v>
      </c>
      <c r="C5339" s="1" t="str">
        <f>"CANADENSIS"</f>
        <v>CANADENSIS</v>
      </c>
      <c r="D5339" s="1" t="str">
        <f>"PA"</f>
        <v>PA</v>
      </c>
      <c r="E5339" s="2">
        <v>1</v>
      </c>
      <c r="F5339" s="2">
        <v>1</v>
      </c>
      <c r="G5339" s="2">
        <v>0</v>
      </c>
      <c r="H5339" s="2">
        <v>1</v>
      </c>
    </row>
    <row r="5340" spans="1:8" x14ac:dyDescent="0.25">
      <c r="A5340" s="1" t="str">
        <f>"48037"</f>
        <v>48037</v>
      </c>
      <c r="B5340" s="1" t="str">
        <f>"47664"</f>
        <v>47664</v>
      </c>
      <c r="C5340" s="1" t="str">
        <f>"SOUTHFIELD"</f>
        <v>SOUTHFIELD</v>
      </c>
      <c r="D5340" s="1" t="str">
        <f>"MI"</f>
        <v>MI</v>
      </c>
      <c r="E5340" s="2">
        <v>1</v>
      </c>
      <c r="F5340" s="2">
        <v>1</v>
      </c>
      <c r="G5340" s="2">
        <v>1</v>
      </c>
      <c r="H5340" s="2">
        <v>1</v>
      </c>
    </row>
    <row r="5341" spans="1:8" x14ac:dyDescent="0.25">
      <c r="A5341" s="1" t="str">
        <f>"60518"</f>
        <v>60518</v>
      </c>
      <c r="B5341" s="1" t="str">
        <f>"20994"</f>
        <v>20994</v>
      </c>
      <c r="C5341" s="1" t="str">
        <f>"EARLVILLE"</f>
        <v>EARLVILLE</v>
      </c>
      <c r="D5341" s="1" t="str">
        <f>"IL"</f>
        <v>IL</v>
      </c>
      <c r="E5341" s="2">
        <v>1</v>
      </c>
      <c r="F5341" s="2">
        <v>1</v>
      </c>
      <c r="G5341" s="2">
        <v>1</v>
      </c>
      <c r="H5341" s="2">
        <v>1</v>
      </c>
    </row>
    <row r="5342" spans="1:8" x14ac:dyDescent="0.25">
      <c r="A5342" s="1" t="str">
        <f>"76136"</f>
        <v>76136</v>
      </c>
      <c r="B5342" s="1" t="str">
        <f>"23104"</f>
        <v>23104</v>
      </c>
      <c r="C5342" s="1" t="str">
        <f>"FORT WORTH"</f>
        <v>FORT WORTH</v>
      </c>
      <c r="D5342" s="1" t="str">
        <f>"TX"</f>
        <v>TX</v>
      </c>
      <c r="E5342" s="2">
        <v>1</v>
      </c>
      <c r="F5342" s="2">
        <v>1</v>
      </c>
      <c r="G5342" s="2">
        <v>1</v>
      </c>
      <c r="H5342" s="2">
        <v>1</v>
      </c>
    </row>
    <row r="5343" spans="1:8" x14ac:dyDescent="0.25">
      <c r="A5343" s="1" t="str">
        <f>"91346"</f>
        <v>91346</v>
      </c>
      <c r="B5343" s="1" t="str">
        <f>"31084"</f>
        <v>31084</v>
      </c>
      <c r="C5343" s="1" t="str">
        <f>"MISSION HILLS"</f>
        <v>MISSION HILLS</v>
      </c>
      <c r="D5343" s="1" t="str">
        <f>"CA"</f>
        <v>CA</v>
      </c>
      <c r="E5343" s="2">
        <v>1</v>
      </c>
      <c r="F5343" s="2">
        <v>1</v>
      </c>
      <c r="G5343" s="2">
        <v>1</v>
      </c>
      <c r="H5343" s="2">
        <v>1</v>
      </c>
    </row>
    <row r="5344" spans="1:8" x14ac:dyDescent="0.25">
      <c r="A5344" s="1" t="str">
        <f>"92674"</f>
        <v>92674</v>
      </c>
      <c r="B5344" s="1" t="str">
        <f>"11244"</f>
        <v>11244</v>
      </c>
      <c r="C5344" s="1" t="str">
        <f>"SAN CLEMENTE"</f>
        <v>SAN CLEMENTE</v>
      </c>
      <c r="D5344" s="1" t="str">
        <f>"CA"</f>
        <v>CA</v>
      </c>
      <c r="E5344" s="2">
        <v>1</v>
      </c>
      <c r="F5344" s="2">
        <v>1</v>
      </c>
      <c r="G5344" s="2">
        <v>1</v>
      </c>
      <c r="H5344" s="2">
        <v>1</v>
      </c>
    </row>
    <row r="5345" spans="1:8" x14ac:dyDescent="0.25">
      <c r="A5345" s="1" t="str">
        <f>"98175"</f>
        <v>98175</v>
      </c>
      <c r="B5345" s="1" t="str">
        <f>"42644"</f>
        <v>42644</v>
      </c>
      <c r="C5345" s="1" t="str">
        <f>"SEATTLE"</f>
        <v>SEATTLE</v>
      </c>
      <c r="D5345" s="1" t="str">
        <f>"WA"</f>
        <v>WA</v>
      </c>
      <c r="E5345" s="2">
        <v>1</v>
      </c>
      <c r="F5345" s="2">
        <v>1</v>
      </c>
      <c r="G5345" s="2">
        <v>1</v>
      </c>
      <c r="H5345" s="2">
        <v>1</v>
      </c>
    </row>
    <row r="5346" spans="1:8" x14ac:dyDescent="0.25">
      <c r="A5346" s="1" t="str">
        <f>"07822"</f>
        <v>07822</v>
      </c>
      <c r="B5346" s="1" t="str">
        <f>"35084"</f>
        <v>35084</v>
      </c>
      <c r="C5346" s="1" t="str">
        <f>"AUGUSTA"</f>
        <v>AUGUSTA</v>
      </c>
      <c r="D5346" s="1" t="str">
        <f>"NJ"</f>
        <v>NJ</v>
      </c>
      <c r="E5346" s="2">
        <v>1</v>
      </c>
      <c r="F5346" s="2">
        <v>1</v>
      </c>
      <c r="G5346" s="2">
        <v>1</v>
      </c>
      <c r="H5346" s="2">
        <v>1</v>
      </c>
    </row>
    <row r="5347" spans="1:8" x14ac:dyDescent="0.25">
      <c r="A5347" s="1" t="str">
        <f>"22580"</f>
        <v>22580</v>
      </c>
      <c r="B5347" s="1" t="str">
        <f>"47894"</f>
        <v>47894</v>
      </c>
      <c r="C5347" s="1" t="str">
        <f>"WOODFORD"</f>
        <v>WOODFORD</v>
      </c>
      <c r="D5347" s="1" t="str">
        <f>"VA"</f>
        <v>VA</v>
      </c>
      <c r="E5347" s="2">
        <v>1</v>
      </c>
      <c r="F5347" s="2">
        <v>1</v>
      </c>
      <c r="G5347" s="2">
        <v>0</v>
      </c>
      <c r="H5347" s="2">
        <v>1</v>
      </c>
    </row>
    <row r="5348" spans="1:8" x14ac:dyDescent="0.25">
      <c r="A5348" s="1" t="str">
        <f>"60078"</f>
        <v>60078</v>
      </c>
      <c r="B5348" s="1" t="str">
        <f>"16984"</f>
        <v>16984</v>
      </c>
      <c r="C5348" s="1" t="str">
        <f>"PALATINE"</f>
        <v>PALATINE</v>
      </c>
      <c r="D5348" s="1" t="str">
        <f>"IL"</f>
        <v>IL</v>
      </c>
      <c r="E5348" s="2">
        <v>1</v>
      </c>
      <c r="F5348" s="2">
        <v>1</v>
      </c>
      <c r="G5348" s="2">
        <v>1</v>
      </c>
      <c r="H5348" s="2">
        <v>1</v>
      </c>
    </row>
    <row r="5349" spans="1:8" x14ac:dyDescent="0.25">
      <c r="A5349" s="1" t="str">
        <f>"94933"</f>
        <v>94933</v>
      </c>
      <c r="B5349" s="1" t="str">
        <f>"42034"</f>
        <v>42034</v>
      </c>
      <c r="C5349" s="1" t="str">
        <f>"FOREST KNOLLS"</f>
        <v>FOREST KNOLLS</v>
      </c>
      <c r="D5349" s="1" t="str">
        <f>"CA"</f>
        <v>CA</v>
      </c>
      <c r="E5349" s="2">
        <v>1</v>
      </c>
      <c r="F5349" s="2">
        <v>1</v>
      </c>
      <c r="G5349" s="2">
        <v>1</v>
      </c>
      <c r="H5349" s="2">
        <v>1</v>
      </c>
    </row>
    <row r="5350" spans="1:8" x14ac:dyDescent="0.25">
      <c r="A5350" s="1" t="str">
        <f>"48440"</f>
        <v>48440</v>
      </c>
      <c r="B5350" s="1" t="str">
        <f>"47664"</f>
        <v>47664</v>
      </c>
      <c r="C5350" s="1" t="str">
        <f>"HADLEY"</f>
        <v>HADLEY</v>
      </c>
      <c r="D5350" s="1" t="str">
        <f>"MI"</f>
        <v>MI</v>
      </c>
      <c r="E5350" s="2">
        <v>1</v>
      </c>
      <c r="F5350" s="2">
        <v>1</v>
      </c>
      <c r="G5350" s="2">
        <v>0</v>
      </c>
      <c r="H5350" s="2">
        <v>1</v>
      </c>
    </row>
    <row r="5351" spans="1:8" x14ac:dyDescent="0.25">
      <c r="A5351" s="1" t="str">
        <f>"91209"</f>
        <v>91209</v>
      </c>
      <c r="B5351" s="1" t="str">
        <f>"31084"</f>
        <v>31084</v>
      </c>
      <c r="C5351" s="1" t="str">
        <f>"GLENDALE"</f>
        <v>GLENDALE</v>
      </c>
      <c r="D5351" s="1" t="str">
        <f>"CA"</f>
        <v>CA</v>
      </c>
      <c r="E5351" s="2">
        <v>1</v>
      </c>
      <c r="F5351" s="2">
        <v>1</v>
      </c>
      <c r="G5351" s="2">
        <v>1</v>
      </c>
      <c r="H5351" s="2">
        <v>1</v>
      </c>
    </row>
    <row r="5352" spans="1:8" x14ac:dyDescent="0.25">
      <c r="A5352" s="1" t="str">
        <f>"01703"</f>
        <v>01703</v>
      </c>
      <c r="B5352" s="1" t="str">
        <f>"15764"</f>
        <v>15764</v>
      </c>
      <c r="C5352" s="1" t="str">
        <f>"FRAMINGHAM"</f>
        <v>FRAMINGHAM</v>
      </c>
      <c r="D5352" s="1" t="str">
        <f>"MA"</f>
        <v>MA</v>
      </c>
      <c r="E5352" s="2">
        <v>1</v>
      </c>
      <c r="F5352" s="2">
        <v>1</v>
      </c>
      <c r="G5352" s="2">
        <v>1</v>
      </c>
      <c r="H5352" s="2">
        <v>1</v>
      </c>
    </row>
    <row r="5353" spans="1:8" x14ac:dyDescent="0.25">
      <c r="A5353" s="1" t="str">
        <f>"20223"</f>
        <v>20223</v>
      </c>
      <c r="B5353" s="1" t="str">
        <f>"47894"</f>
        <v>47894</v>
      </c>
      <c r="C5353" s="1" t="str">
        <f>"WASHINGTON"</f>
        <v>WASHINGTON</v>
      </c>
      <c r="D5353" s="1" t="str">
        <f>"DC"</f>
        <v>DC</v>
      </c>
      <c r="E5353" s="2">
        <v>0</v>
      </c>
      <c r="F5353" s="2">
        <v>1</v>
      </c>
      <c r="G5353" s="2">
        <v>0</v>
      </c>
      <c r="H5353" s="2">
        <v>1</v>
      </c>
    </row>
    <row r="5354" spans="1:8" x14ac:dyDescent="0.25">
      <c r="A5354" s="1" t="str">
        <f>"75313"</f>
        <v>75313</v>
      </c>
      <c r="B5354" s="1" t="str">
        <f>"19124"</f>
        <v>19124</v>
      </c>
      <c r="C5354" s="1" t="str">
        <f>"DALLAS"</f>
        <v>DALLAS</v>
      </c>
      <c r="D5354" s="1" t="str">
        <f>"TX"</f>
        <v>TX</v>
      </c>
      <c r="E5354" s="2">
        <v>1</v>
      </c>
      <c r="F5354" s="2">
        <v>1</v>
      </c>
      <c r="G5354" s="2">
        <v>1</v>
      </c>
      <c r="H5354" s="2">
        <v>1</v>
      </c>
    </row>
    <row r="5355" spans="1:8" x14ac:dyDescent="0.25">
      <c r="A5355" s="1" t="str">
        <f>"19732"</f>
        <v>19732</v>
      </c>
      <c r="B5355" s="1" t="str">
        <f>"48864"</f>
        <v>48864</v>
      </c>
      <c r="C5355" s="1" t="str">
        <f>"ROCKLAND"</f>
        <v>ROCKLAND</v>
      </c>
      <c r="D5355" s="1" t="str">
        <f>"DE"</f>
        <v>DE</v>
      </c>
      <c r="E5355" s="2">
        <v>1</v>
      </c>
      <c r="F5355" s="2">
        <v>1</v>
      </c>
      <c r="G5355" s="2">
        <v>1</v>
      </c>
      <c r="H5355" s="2">
        <v>1</v>
      </c>
    </row>
    <row r="5356" spans="1:8" x14ac:dyDescent="0.25">
      <c r="A5356" s="1" t="str">
        <f>"20060"</f>
        <v>20060</v>
      </c>
      <c r="B5356" s="1" t="str">
        <f>"47894"</f>
        <v>47894</v>
      </c>
      <c r="C5356" s="1" t="str">
        <f>"WASHINGTON"</f>
        <v>WASHINGTON</v>
      </c>
      <c r="D5356" s="1" t="str">
        <f>"DC"</f>
        <v>DC</v>
      </c>
      <c r="E5356" s="2">
        <v>0</v>
      </c>
      <c r="F5356" s="2">
        <v>1</v>
      </c>
      <c r="G5356" s="2">
        <v>0</v>
      </c>
      <c r="H5356" s="2">
        <v>1</v>
      </c>
    </row>
    <row r="5357" spans="1:8" x14ac:dyDescent="0.25">
      <c r="A5357" s="1" t="str">
        <f>"08862"</f>
        <v>08862</v>
      </c>
      <c r="B5357" s="1" t="str">
        <f>"35154"</f>
        <v>35154</v>
      </c>
      <c r="C5357" s="1" t="str">
        <f>"PERTH AMBOY"</f>
        <v>PERTH AMBOY</v>
      </c>
      <c r="D5357" s="1" t="str">
        <f>"NJ"</f>
        <v>NJ</v>
      </c>
      <c r="E5357" s="2">
        <v>1</v>
      </c>
      <c r="F5357" s="2">
        <v>1</v>
      </c>
      <c r="G5357" s="2">
        <v>1</v>
      </c>
      <c r="H5357" s="2">
        <v>1</v>
      </c>
    </row>
    <row r="5358" spans="1:8" x14ac:dyDescent="0.25">
      <c r="A5358" s="1" t="str">
        <f>"10177"</f>
        <v>10177</v>
      </c>
      <c r="B5358" s="1" t="str">
        <f>"35614"</f>
        <v>35614</v>
      </c>
      <c r="C5358" s="1" t="str">
        <f>"NEW YORK"</f>
        <v>NEW YORK</v>
      </c>
      <c r="D5358" s="1" t="str">
        <f>"NY"</f>
        <v>NY</v>
      </c>
      <c r="E5358" s="2">
        <v>0</v>
      </c>
      <c r="F5358" s="2">
        <v>1</v>
      </c>
      <c r="G5358" s="2">
        <v>1</v>
      </c>
      <c r="H5358" s="2">
        <v>1</v>
      </c>
    </row>
    <row r="5359" spans="1:8" x14ac:dyDescent="0.25">
      <c r="A5359" s="1" t="str">
        <f>"60531"</f>
        <v>60531</v>
      </c>
      <c r="B5359" s="1" t="str">
        <f>"20994"</f>
        <v>20994</v>
      </c>
      <c r="C5359" s="1" t="str">
        <f>"LELAND"</f>
        <v>LELAND</v>
      </c>
      <c r="D5359" s="1" t="str">
        <f>"IL"</f>
        <v>IL</v>
      </c>
      <c r="E5359" s="2">
        <v>1</v>
      </c>
      <c r="F5359" s="2">
        <v>1</v>
      </c>
      <c r="G5359" s="2">
        <v>0</v>
      </c>
      <c r="H5359" s="2">
        <v>1</v>
      </c>
    </row>
    <row r="5360" spans="1:8" x14ac:dyDescent="0.25">
      <c r="A5360" s="1" t="str">
        <f>"20508"</f>
        <v>20508</v>
      </c>
      <c r="B5360" s="1" t="str">
        <f>"47894"</f>
        <v>47894</v>
      </c>
      <c r="C5360" s="1" t="str">
        <f>"WASHINGTON"</f>
        <v>WASHINGTON</v>
      </c>
      <c r="D5360" s="1" t="str">
        <f>"DC"</f>
        <v>DC</v>
      </c>
      <c r="E5360" s="2">
        <v>0</v>
      </c>
      <c r="F5360" s="2">
        <v>1</v>
      </c>
      <c r="G5360" s="2">
        <v>0</v>
      </c>
      <c r="H5360" s="2">
        <v>1</v>
      </c>
    </row>
    <row r="5361" spans="1:8" x14ac:dyDescent="0.25">
      <c r="A5361" s="1" t="str">
        <f>"48117"</f>
        <v>48117</v>
      </c>
      <c r="B5361" s="1" t="str">
        <f>"19804"</f>
        <v>19804</v>
      </c>
      <c r="C5361" s="1" t="str">
        <f>"CARLETON"</f>
        <v>CARLETON</v>
      </c>
      <c r="D5361" s="1" t="str">
        <f>"MI"</f>
        <v>MI</v>
      </c>
      <c r="E5361" s="2">
        <v>1</v>
      </c>
      <c r="F5361" s="2">
        <v>1</v>
      </c>
      <c r="G5361" s="2">
        <v>1</v>
      </c>
      <c r="H5361" s="2">
        <v>1</v>
      </c>
    </row>
    <row r="5362" spans="1:8" x14ac:dyDescent="0.25">
      <c r="A5362" s="1" t="str">
        <f>"22743"</f>
        <v>22743</v>
      </c>
      <c r="B5362" s="1" t="str">
        <f>"47894"</f>
        <v>47894</v>
      </c>
      <c r="C5362" s="1" t="str">
        <f>"SYRIA"</f>
        <v>SYRIA</v>
      </c>
      <c r="D5362" s="1" t="str">
        <f>"VA"</f>
        <v>VA</v>
      </c>
      <c r="E5362" s="2">
        <v>1</v>
      </c>
      <c r="F5362" s="2">
        <v>1</v>
      </c>
      <c r="G5362" s="2">
        <v>0</v>
      </c>
      <c r="H5362" s="2">
        <v>1</v>
      </c>
    </row>
    <row r="5363" spans="1:8" x14ac:dyDescent="0.25">
      <c r="A5363" s="1" t="str">
        <f>"07096"</f>
        <v>07096</v>
      </c>
      <c r="B5363" s="1" t="str">
        <f>"35614"</f>
        <v>35614</v>
      </c>
      <c r="C5363" s="1" t="str">
        <f>"SECAUCUS"</f>
        <v>SECAUCUS</v>
      </c>
      <c r="D5363" s="1" t="str">
        <f>"NJ"</f>
        <v>NJ</v>
      </c>
      <c r="E5363" s="2">
        <v>1</v>
      </c>
      <c r="F5363" s="2">
        <v>1</v>
      </c>
      <c r="G5363" s="2">
        <v>1</v>
      </c>
      <c r="H5363" s="2">
        <v>1</v>
      </c>
    </row>
    <row r="5364" spans="1:8" x14ac:dyDescent="0.25">
      <c r="A5364" s="1" t="str">
        <f>"20544"</f>
        <v>20544</v>
      </c>
      <c r="B5364" s="1" t="str">
        <f>"47894"</f>
        <v>47894</v>
      </c>
      <c r="C5364" s="1" t="str">
        <f>"WASHINGTON"</f>
        <v>WASHINGTON</v>
      </c>
      <c r="D5364" s="1" t="str">
        <f>"DC"</f>
        <v>DC</v>
      </c>
      <c r="E5364" s="2">
        <v>0</v>
      </c>
      <c r="F5364" s="2">
        <v>1</v>
      </c>
      <c r="G5364" s="2">
        <v>1</v>
      </c>
      <c r="H5364" s="2">
        <v>1</v>
      </c>
    </row>
    <row r="5365" spans="1:8" x14ac:dyDescent="0.25">
      <c r="A5365" s="1" t="str">
        <f>"33199"</f>
        <v>33199</v>
      </c>
      <c r="B5365" s="1" t="str">
        <f>"33124"</f>
        <v>33124</v>
      </c>
      <c r="C5365" s="1" t="str">
        <f>"MIAMI"</f>
        <v>MIAMI</v>
      </c>
      <c r="D5365" s="1" t="str">
        <f>"FL"</f>
        <v>FL</v>
      </c>
      <c r="E5365" s="2">
        <v>0</v>
      </c>
      <c r="F5365" s="2">
        <v>1</v>
      </c>
      <c r="G5365" s="2">
        <v>0</v>
      </c>
      <c r="H5365" s="2">
        <v>1</v>
      </c>
    </row>
    <row r="5366" spans="1:8" x14ac:dyDescent="0.25">
      <c r="A5366" s="1" t="str">
        <f>"75132"</f>
        <v>75132</v>
      </c>
      <c r="B5366" s="1" t="str">
        <f>"19124"</f>
        <v>19124</v>
      </c>
      <c r="C5366" s="1" t="str">
        <f>"FATE"</f>
        <v>FATE</v>
      </c>
      <c r="D5366" s="1" t="str">
        <f>"TX"</f>
        <v>TX</v>
      </c>
      <c r="E5366" s="2">
        <v>0</v>
      </c>
      <c r="F5366" s="2">
        <v>1</v>
      </c>
      <c r="G5366" s="2">
        <v>0</v>
      </c>
      <c r="H5366" s="2">
        <v>1</v>
      </c>
    </row>
    <row r="5367" spans="1:8" x14ac:dyDescent="0.25">
      <c r="A5367" s="1" t="str">
        <f>"20575"</f>
        <v>20575</v>
      </c>
      <c r="B5367" s="1" t="str">
        <f>"47894"</f>
        <v>47894</v>
      </c>
      <c r="C5367" s="1" t="str">
        <f>"WASHINGTON"</f>
        <v>WASHINGTON</v>
      </c>
      <c r="D5367" s="1" t="str">
        <f>"DC"</f>
        <v>DC</v>
      </c>
      <c r="E5367" s="2">
        <v>0</v>
      </c>
      <c r="F5367" s="2">
        <v>1</v>
      </c>
      <c r="G5367" s="2">
        <v>0</v>
      </c>
      <c r="H5367" s="2">
        <v>1</v>
      </c>
    </row>
    <row r="5368" spans="1:8" x14ac:dyDescent="0.25">
      <c r="A5368" s="1" t="str">
        <f>"19451"</f>
        <v>19451</v>
      </c>
      <c r="B5368" s="1" t="str">
        <f>"33874"</f>
        <v>33874</v>
      </c>
      <c r="C5368" s="1" t="str">
        <f>"MAINLAND"</f>
        <v>MAINLAND</v>
      </c>
      <c r="D5368" s="1" t="str">
        <f>"PA"</f>
        <v>PA</v>
      </c>
      <c r="E5368" s="2">
        <v>1</v>
      </c>
      <c r="F5368" s="2">
        <v>1</v>
      </c>
      <c r="G5368" s="2">
        <v>1</v>
      </c>
      <c r="H5368" s="2">
        <v>1</v>
      </c>
    </row>
    <row r="5369" spans="1:8" x14ac:dyDescent="0.25">
      <c r="A5369" s="1" t="str">
        <f>"08868"</f>
        <v>08868</v>
      </c>
      <c r="B5369" s="1" t="str">
        <f>"35084"</f>
        <v>35084</v>
      </c>
      <c r="C5369" s="1" t="str">
        <f>"QUAKERTOWN"</f>
        <v>QUAKERTOWN</v>
      </c>
      <c r="D5369" s="1" t="str">
        <f>"NJ"</f>
        <v>NJ</v>
      </c>
      <c r="E5369" s="2">
        <v>0</v>
      </c>
      <c r="F5369" s="2">
        <v>0</v>
      </c>
      <c r="G5369" s="2">
        <v>1</v>
      </c>
      <c r="H5369" s="2">
        <v>1</v>
      </c>
    </row>
    <row r="5370" spans="1:8" x14ac:dyDescent="0.25">
      <c r="A5370" s="1" t="str">
        <f>"03104"</f>
        <v>03104</v>
      </c>
      <c r="B5370" s="1" t="str">
        <f>"40484"</f>
        <v>40484</v>
      </c>
      <c r="C5370" s="1" t="str">
        <f>"MANCHESTER"</f>
        <v>MANCHESTER</v>
      </c>
      <c r="D5370" s="1" t="str">
        <f>"NH"</f>
        <v>NH</v>
      </c>
      <c r="E5370" s="2">
        <v>1</v>
      </c>
      <c r="F5370" s="2">
        <v>0</v>
      </c>
      <c r="G5370" s="2">
        <v>0</v>
      </c>
      <c r="H5370" s="2">
        <v>1</v>
      </c>
    </row>
    <row r="5371" spans="1:8" x14ac:dyDescent="0.25">
      <c r="A5371" s="1" t="str">
        <f>"07837"</f>
        <v>07837</v>
      </c>
      <c r="B5371" s="1" t="str">
        <f>"35084"</f>
        <v>35084</v>
      </c>
      <c r="C5371" s="1" t="str">
        <f>"GLASSER"</f>
        <v>GLASSER</v>
      </c>
      <c r="D5371" s="1" t="str">
        <f>"NJ"</f>
        <v>NJ</v>
      </c>
      <c r="E5371" s="2">
        <v>0</v>
      </c>
      <c r="F5371" s="2">
        <v>0</v>
      </c>
      <c r="G5371" s="2">
        <v>1</v>
      </c>
      <c r="H5371" s="2">
        <v>1</v>
      </c>
    </row>
    <row r="5372" spans="1:8" x14ac:dyDescent="0.25">
      <c r="A5372" s="1" t="str">
        <f>"91495"</f>
        <v>91495</v>
      </c>
      <c r="B5372" s="1" t="str">
        <f>"31084"</f>
        <v>31084</v>
      </c>
      <c r="C5372" s="1" t="str">
        <f>"SHERMAN OAKS"</f>
        <v>SHERMAN OAKS</v>
      </c>
      <c r="D5372" s="1" t="str">
        <f>"CA"</f>
        <v>CA</v>
      </c>
      <c r="E5372" s="2">
        <v>0</v>
      </c>
      <c r="F5372" s="2">
        <v>1</v>
      </c>
      <c r="G5372" s="2">
        <v>0</v>
      </c>
      <c r="H5372" s="2">
        <v>1</v>
      </c>
    </row>
    <row r="5373" spans="1:8" x14ac:dyDescent="0.25">
      <c r="A5373" s="1" t="str">
        <f>"18910"</f>
        <v>18910</v>
      </c>
      <c r="B5373" s="1" t="str">
        <f>"33874"</f>
        <v>33874</v>
      </c>
      <c r="C5373" s="1" t="str">
        <f>"BEDMINSTER"</f>
        <v>BEDMINSTER</v>
      </c>
      <c r="D5373" s="1" t="str">
        <f>"PA"</f>
        <v>PA</v>
      </c>
      <c r="E5373" s="2">
        <v>0</v>
      </c>
      <c r="F5373" s="2">
        <v>0</v>
      </c>
      <c r="G5373" s="2">
        <v>1</v>
      </c>
      <c r="H5373" s="2">
        <v>1</v>
      </c>
    </row>
    <row r="5374" spans="1:8" x14ac:dyDescent="0.25">
      <c r="A5374" s="1" t="str">
        <f>"01451"</f>
        <v>01451</v>
      </c>
      <c r="B5374" s="1" t="str">
        <f>"15764"</f>
        <v>15764</v>
      </c>
      <c r="C5374" s="1" t="str">
        <f>"HARVARD"</f>
        <v>HARVARD</v>
      </c>
      <c r="D5374" s="1" t="str">
        <f>"MA"</f>
        <v>MA</v>
      </c>
      <c r="E5374" s="2">
        <v>1</v>
      </c>
      <c r="F5374" s="2">
        <v>0</v>
      </c>
      <c r="G5374" s="2">
        <v>0</v>
      </c>
      <c r="H5374" s="2">
        <v>1</v>
      </c>
    </row>
    <row r="5375" spans="1:8" x14ac:dyDescent="0.25">
      <c r="A5375" s="1" t="str">
        <f>"20407"</f>
        <v>20407</v>
      </c>
      <c r="B5375" s="1" t="str">
        <f>"47894"</f>
        <v>47894</v>
      </c>
      <c r="C5375" s="1" t="str">
        <f>"WASHINGTON"</f>
        <v>WASHINGTON</v>
      </c>
      <c r="D5375" s="1" t="str">
        <f>"DC"</f>
        <v>DC</v>
      </c>
      <c r="E5375" s="2">
        <v>0</v>
      </c>
      <c r="F5375" s="2">
        <v>1</v>
      </c>
      <c r="G5375" s="2">
        <v>0</v>
      </c>
      <c r="H5375" s="2">
        <v>1</v>
      </c>
    </row>
    <row r="5376" spans="1:8" x14ac:dyDescent="0.25">
      <c r="A5376" s="1" t="str">
        <f>"07879"</f>
        <v>07879</v>
      </c>
      <c r="B5376" s="1" t="str">
        <f>"35084"</f>
        <v>35084</v>
      </c>
      <c r="C5376" s="1" t="str">
        <f>"TRANQUILITY"</f>
        <v>TRANQUILITY</v>
      </c>
      <c r="D5376" s="1" t="str">
        <f>"NJ"</f>
        <v>NJ</v>
      </c>
      <c r="E5376" s="2">
        <v>0</v>
      </c>
      <c r="F5376" s="2">
        <v>0</v>
      </c>
      <c r="G5376" s="2">
        <v>1</v>
      </c>
      <c r="H5376" s="2">
        <v>1</v>
      </c>
    </row>
    <row r="5377" spans="1:8" x14ac:dyDescent="0.25">
      <c r="A5377" s="1" t="str">
        <f>"10269"</f>
        <v>10269</v>
      </c>
      <c r="B5377" s="1" t="str">
        <f>"35614"</f>
        <v>35614</v>
      </c>
      <c r="C5377" s="1" t="str">
        <f>"NEW YORK"</f>
        <v>NEW YORK</v>
      </c>
      <c r="D5377" s="1" t="str">
        <f>"NY"</f>
        <v>NY</v>
      </c>
      <c r="E5377" s="2">
        <v>0</v>
      </c>
      <c r="F5377" s="2">
        <v>0</v>
      </c>
      <c r="G5377" s="2">
        <v>1</v>
      </c>
      <c r="H5377" s="2">
        <v>1</v>
      </c>
    </row>
    <row r="5378" spans="1:8" x14ac:dyDescent="0.25">
      <c r="A5378" s="1" t="str">
        <f>"91482"</f>
        <v>91482</v>
      </c>
      <c r="B5378" s="1" t="str">
        <f>"31084"</f>
        <v>31084</v>
      </c>
      <c r="C5378" s="1" t="str">
        <f>"VAN NUYS"</f>
        <v>VAN NUYS</v>
      </c>
      <c r="D5378" s="1" t="str">
        <f>"CA"</f>
        <v>CA</v>
      </c>
      <c r="E5378" s="2">
        <v>0</v>
      </c>
      <c r="F5378" s="2">
        <v>0</v>
      </c>
      <c r="G5378" s="2">
        <v>1</v>
      </c>
      <c r="H5378" s="2">
        <v>1</v>
      </c>
    </row>
    <row r="5379" spans="1:8" x14ac:dyDescent="0.25">
      <c r="A5379" s="1" t="str">
        <f>"07175"</f>
        <v>07175</v>
      </c>
      <c r="B5379" s="1" t="str">
        <f>"35084"</f>
        <v>35084</v>
      </c>
      <c r="C5379" s="1" t="str">
        <f>"NEWARK"</f>
        <v>NEWARK</v>
      </c>
      <c r="D5379" s="1" t="str">
        <f>"NJ"</f>
        <v>NJ</v>
      </c>
      <c r="E5379" s="2">
        <v>0</v>
      </c>
      <c r="F5379" s="2">
        <v>1</v>
      </c>
      <c r="G5379" s="2">
        <v>0</v>
      </c>
      <c r="H5379" s="2">
        <v>1</v>
      </c>
    </row>
    <row r="5380" spans="1:8" x14ac:dyDescent="0.25">
      <c r="A5380" s="1" t="str">
        <f>"10987"</f>
        <v>10987</v>
      </c>
      <c r="B5380" s="1" t="str">
        <f>"35614"</f>
        <v>35614</v>
      </c>
      <c r="C5380" s="1" t="str">
        <f>"TUXEDO PARK"</f>
        <v>TUXEDO PARK</v>
      </c>
      <c r="D5380" s="1" t="str">
        <f>"NY"</f>
        <v>NY</v>
      </c>
      <c r="E5380" s="2">
        <v>1</v>
      </c>
      <c r="F5380" s="2">
        <v>0</v>
      </c>
      <c r="G5380" s="2">
        <v>0</v>
      </c>
      <c r="H5380" s="2">
        <v>1</v>
      </c>
    </row>
    <row r="5381" spans="1:8" x14ac:dyDescent="0.25">
      <c r="A5381" s="1" t="str">
        <f>"18922"</f>
        <v>18922</v>
      </c>
      <c r="B5381" s="1" t="str">
        <f>"33874"</f>
        <v>33874</v>
      </c>
      <c r="C5381" s="1" t="str">
        <f>"FOREST GROVE"</f>
        <v>FOREST GROVE</v>
      </c>
      <c r="D5381" s="1" t="str">
        <f>"PA"</f>
        <v>PA</v>
      </c>
      <c r="E5381" s="2">
        <v>0</v>
      </c>
      <c r="F5381" s="2">
        <v>0</v>
      </c>
      <c r="G5381" s="2">
        <v>1</v>
      </c>
      <c r="H5381" s="2">
        <v>1</v>
      </c>
    </row>
    <row r="5382" spans="1:8" x14ac:dyDescent="0.25">
      <c r="A5382" s="1" t="str">
        <f>"22748"</f>
        <v>22748</v>
      </c>
      <c r="B5382" s="1" t="str">
        <f>"47894"</f>
        <v>47894</v>
      </c>
      <c r="C5382" s="1" t="str">
        <f>"WOLFTOWN"</f>
        <v>WOLFTOWN</v>
      </c>
      <c r="D5382" s="1" t="str">
        <f>"VA"</f>
        <v>VA</v>
      </c>
      <c r="E5382" s="2">
        <v>0</v>
      </c>
      <c r="F5382" s="2">
        <v>1</v>
      </c>
      <c r="G5382" s="2">
        <v>0</v>
      </c>
      <c r="H5382" s="2">
        <v>1</v>
      </c>
    </row>
    <row r="5383" spans="1:8" x14ac:dyDescent="0.25">
      <c r="A5383" s="1" t="str">
        <f>"18921"</f>
        <v>18921</v>
      </c>
      <c r="B5383" s="1" t="str">
        <f>"33874"</f>
        <v>33874</v>
      </c>
      <c r="C5383" s="1" t="str">
        <f>"FERNDALE"</f>
        <v>FERNDALE</v>
      </c>
      <c r="D5383" s="1" t="str">
        <f>"PA"</f>
        <v>PA</v>
      </c>
      <c r="E5383" s="2">
        <v>0</v>
      </c>
      <c r="F5383" s="2">
        <v>0</v>
      </c>
      <c r="G5383" s="2">
        <v>1</v>
      </c>
      <c r="H5383" s="2">
        <v>1</v>
      </c>
    </row>
    <row r="5384" spans="1:8" x14ac:dyDescent="0.25">
      <c r="A5384" s="1" t="str">
        <f>"07806"</f>
        <v>07806</v>
      </c>
      <c r="B5384" s="1" t="str">
        <f>"35084"</f>
        <v>35084</v>
      </c>
      <c r="C5384" s="1" t="str">
        <f>"PICATINNY ARSENAL"</f>
        <v>PICATINNY ARSENAL</v>
      </c>
      <c r="D5384" s="1" t="str">
        <f>"NJ"</f>
        <v>NJ</v>
      </c>
      <c r="E5384" s="2">
        <v>0</v>
      </c>
      <c r="F5384" s="2">
        <v>1</v>
      </c>
      <c r="G5384" s="2">
        <v>1</v>
      </c>
      <c r="H5384" s="2">
        <v>1</v>
      </c>
    </row>
    <row r="5385" spans="1:8" x14ac:dyDescent="0.25">
      <c r="A5385" s="1" t="str">
        <f>"60684"</f>
        <v>60684</v>
      </c>
      <c r="B5385" s="1" t="str">
        <f>"16984"</f>
        <v>16984</v>
      </c>
      <c r="C5385" s="1" t="str">
        <f>"CHICAGO"</f>
        <v>CHICAGO</v>
      </c>
      <c r="D5385" s="1" t="str">
        <f>"IL"</f>
        <v>IL</v>
      </c>
      <c r="E5385" s="2">
        <v>0</v>
      </c>
      <c r="F5385" s="2">
        <v>1</v>
      </c>
      <c r="G5385" s="2">
        <v>0</v>
      </c>
      <c r="H538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Lassila (CTR), Daniel M</cp:lastModifiedBy>
  <dcterms:created xsi:type="dcterms:W3CDTF">2022-01-12T19:12:00Z</dcterms:created>
  <dcterms:modified xsi:type="dcterms:W3CDTF">2022-01-12T19:12:00Z</dcterms:modified>
</cp:coreProperties>
</file>