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3036hv/Downloads/"/>
    </mc:Choice>
  </mc:AlternateContent>
  <xr:revisionPtr revIDLastSave="0" documentId="13_ncr:1_{1753422A-51B5-514D-ADBE-2E67BB258CDF}" xr6:coauthVersionLast="47" xr6:coauthVersionMax="47" xr10:uidLastSave="{00000000-0000-0000-0000-000000000000}"/>
  <bookViews>
    <workbookView xWindow="0" yWindow="500" windowWidth="44800" windowHeight="24700" activeTab="6" xr2:uid="{E33FC109-5A67-A142-9633-82714900E926}"/>
  </bookViews>
  <sheets>
    <sheet name="Jednoduché vzorce" sheetId="7" r:id="rId1"/>
    <sheet name="Exkurze" sheetId="1" r:id="rId2"/>
    <sheet name="Spotřeba" sheetId="2" r:id="rId3"/>
    <sheet name="Kniha jízd" sheetId="3" r:id="rId4"/>
    <sheet name="Srdce" sheetId="4" r:id="rId5"/>
    <sheet name="Nákup" sheetId="5" r:id="rId6"/>
    <sheet name="Telefon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6" l="1" a="1"/>
  <c r="G11" i="6" s="1"/>
  <c r="D16" i="6" s="1"/>
  <c r="F16" i="6" s="1"/>
  <c r="I16" i="6" s="1"/>
  <c r="H10" i="6" a="1"/>
  <c r="H10" i="6" s="1"/>
  <c r="H15" i="6"/>
  <c r="H16" i="6"/>
  <c r="H17" i="6"/>
  <c r="H18" i="6"/>
  <c r="H19" i="6"/>
  <c r="H14" i="6"/>
  <c r="G20" i="6"/>
  <c r="E15" i="5"/>
  <c r="E16" i="5"/>
  <c r="E17" i="5"/>
  <c r="E18" i="5"/>
  <c r="E19" i="5"/>
  <c r="E20" i="5"/>
  <c r="E14" i="5"/>
  <c r="F15" i="5"/>
  <c r="F16" i="5"/>
  <c r="F17" i="5"/>
  <c r="F18" i="5"/>
  <c r="H18" i="5" s="1"/>
  <c r="F19" i="5"/>
  <c r="H19" i="5" s="1"/>
  <c r="F20" i="5"/>
  <c r="H20" i="5" s="1"/>
  <c r="F14" i="5"/>
  <c r="H23" i="5"/>
  <c r="H15" i="5"/>
  <c r="H16" i="5"/>
  <c r="H17" i="5"/>
  <c r="H14" i="5"/>
  <c r="C18" i="4"/>
  <c r="C17" i="4"/>
  <c r="C16" i="4"/>
  <c r="C15" i="4"/>
  <c r="C14" i="4"/>
  <c r="C13" i="4"/>
  <c r="C12" i="4"/>
  <c r="C11" i="4"/>
  <c r="G13" i="3"/>
  <c r="G14" i="3"/>
  <c r="G15" i="3"/>
  <c r="G16" i="3"/>
  <c r="G21" i="3" s="1"/>
  <c r="G17" i="3"/>
  <c r="G18" i="3"/>
  <c r="G19" i="3"/>
  <c r="G20" i="3"/>
  <c r="F13" i="3"/>
  <c r="F14" i="3"/>
  <c r="F15" i="3"/>
  <c r="F16" i="3"/>
  <c r="F17" i="3"/>
  <c r="F18" i="3"/>
  <c r="F19" i="3"/>
  <c r="F20" i="3"/>
  <c r="G12" i="3"/>
  <c r="F12" i="3"/>
  <c r="H15" i="2"/>
  <c r="H16" i="2"/>
  <c r="H14" i="2"/>
  <c r="G15" i="2"/>
  <c r="G16" i="2"/>
  <c r="G14" i="2"/>
  <c r="G17" i="2" s="1"/>
  <c r="F17" i="2"/>
  <c r="E17" i="2"/>
  <c r="E16" i="2"/>
  <c r="E15" i="2"/>
  <c r="E14" i="2"/>
  <c r="D17" i="2"/>
  <c r="D16" i="2"/>
  <c r="D15" i="2"/>
  <c r="D14" i="2"/>
  <c r="C17" i="2"/>
  <c r="D44" i="7"/>
  <c r="D46" i="7" s="1"/>
  <c r="E44" i="7"/>
  <c r="C44" i="7"/>
  <c r="C46" i="7" s="1"/>
  <c r="C11" i="1"/>
  <c r="C12" i="1"/>
  <c r="C13" i="1"/>
  <c r="C14" i="1"/>
  <c r="C15" i="1"/>
  <c r="C16" i="1"/>
  <c r="C10" i="1"/>
  <c r="E46" i="7"/>
  <c r="C18" i="7"/>
  <c r="C17" i="7"/>
  <c r="C12" i="7"/>
  <c r="C11" i="7"/>
  <c r="C22" i="7"/>
  <c r="C24" i="7" s="1"/>
  <c r="C33" i="7"/>
  <c r="C40" i="7"/>
  <c r="D19" i="6" l="1"/>
  <c r="F19" i="6" s="1"/>
  <c r="I19" i="6" s="1"/>
  <c r="D17" i="6"/>
  <c r="F17" i="6" s="1"/>
  <c r="I17" i="6" s="1"/>
  <c r="D15" i="6"/>
  <c r="F15" i="6" s="1"/>
  <c r="I15" i="6" s="1"/>
  <c r="D14" i="6"/>
  <c r="F14" i="6" s="1"/>
  <c r="I14" i="6" s="1"/>
  <c r="D18" i="6"/>
  <c r="F18" i="6" s="1"/>
  <c r="I18" i="6" s="1"/>
  <c r="H20" i="6"/>
  <c r="H22" i="5"/>
  <c r="F21" i="3"/>
  <c r="C23" i="7"/>
  <c r="C26" i="7"/>
  <c r="C27" i="7"/>
  <c r="C25" i="7"/>
  <c r="I20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<sst xmlns="http://schemas.openxmlformats.org/spreadsheetml/2006/main" count="162" uniqueCount="141">
  <si>
    <t>Zadání:</t>
  </si>
  <si>
    <t>Naformátujte tabulku a doplňte výpočet do sloupce "Zbývá doplatit"</t>
  </si>
  <si>
    <t>Buňku B5 naformátujte jako měnu v Kč.</t>
  </si>
  <si>
    <t>Cena exkurze:</t>
  </si>
  <si>
    <t>Jméno</t>
  </si>
  <si>
    <t>Záloha</t>
  </si>
  <si>
    <t>Zbývá doplatit</t>
  </si>
  <si>
    <t>Novák</t>
  </si>
  <si>
    <t>Pavelka</t>
  </si>
  <si>
    <t>Polák</t>
  </si>
  <si>
    <t>Večerková</t>
  </si>
  <si>
    <t>Horák</t>
  </si>
  <si>
    <t>Vetchý</t>
  </si>
  <si>
    <t>Slabecká</t>
  </si>
  <si>
    <t>Auto</t>
  </si>
  <si>
    <t>Spotřeba na 100 km</t>
  </si>
  <si>
    <t>Cena benzínu</t>
  </si>
  <si>
    <t>Toyota (benzín)</t>
  </si>
  <si>
    <t>Cena nafty</t>
  </si>
  <si>
    <t>BMW (benzín)</t>
  </si>
  <si>
    <t>Ford (nafta)</t>
  </si>
  <si>
    <t>Ujeté km</t>
  </si>
  <si>
    <t>Spotřeba paliva</t>
  </si>
  <si>
    <t>Cena paliva</t>
  </si>
  <si>
    <t>Oprava a údržba</t>
  </si>
  <si>
    <t>Náklady celkem</t>
  </si>
  <si>
    <t>Náklady na 1 km</t>
  </si>
  <si>
    <t>[km]</t>
  </si>
  <si>
    <t>[litry]</t>
  </si>
  <si>
    <t>[Kč]</t>
  </si>
  <si>
    <t>Toyota</t>
  </si>
  <si>
    <t>BMW</t>
  </si>
  <si>
    <t>Ford</t>
  </si>
  <si>
    <t>CELKEM</t>
  </si>
  <si>
    <t>xxx</t>
  </si>
  <si>
    <t>Nakopírujte vzorce do nevyplněných buněk.</t>
  </si>
  <si>
    <t>Hodnoty u Kč zobrazte na 2 des. místa</t>
  </si>
  <si>
    <t xml:space="preserve">Hodnoty v litrech zobrazte na 1. des. místo </t>
  </si>
  <si>
    <t>Vložte vzorce do šedých buněk a odstraňte šedou výplň</t>
  </si>
  <si>
    <t>Tabulka se bude dynamicky přepočítávat nejen při změně ceny paliva i spotřeby auta</t>
  </si>
  <si>
    <t>Cena 1 litru benzínu:</t>
  </si>
  <si>
    <t>Datum</t>
  </si>
  <si>
    <t>Vozidlo</t>
  </si>
  <si>
    <t>Spotř. L/100km</t>
  </si>
  <si>
    <t>Ujeto km</t>
  </si>
  <si>
    <t>Celková spotřeba</t>
  </si>
  <si>
    <t>Cena Kč</t>
  </si>
  <si>
    <t>1Z3 49-02</t>
  </si>
  <si>
    <t>9A1 56-48</t>
  </si>
  <si>
    <t>2C9 88-11</t>
  </si>
  <si>
    <t>Celkem:</t>
  </si>
  <si>
    <t>Upravte formátování sloupce "Datum"</t>
  </si>
  <si>
    <t>Tabulka se bude dynamicky měnit při změně hodnot</t>
  </si>
  <si>
    <t>Srdce tepe 72 krát za minutu</t>
  </si>
  <si>
    <t>Zadání</t>
  </si>
  <si>
    <t>Doplňte tabulku</t>
  </si>
  <si>
    <t>Kolikrát tepe za:</t>
  </si>
  <si>
    <t>minutu</t>
  </si>
  <si>
    <t>hodinu</t>
  </si>
  <si>
    <t>den</t>
  </si>
  <si>
    <t>týden</t>
  </si>
  <si>
    <t>měsíc</t>
  </si>
  <si>
    <t>rok</t>
  </si>
  <si>
    <t>za život (85 let)</t>
  </si>
  <si>
    <t>za 100 let</t>
  </si>
  <si>
    <t>zboží</t>
  </si>
  <si>
    <t>cena bez DPH</t>
  </si>
  <si>
    <t>sazba DPH</t>
  </si>
  <si>
    <t>DPH</t>
  </si>
  <si>
    <t>cena s DPH</t>
  </si>
  <si>
    <t>počet kusů</t>
  </si>
  <si>
    <t>celková cena</t>
  </si>
  <si>
    <t>rohlík</t>
  </si>
  <si>
    <t>čaj</t>
  </si>
  <si>
    <t>citrony 0,5 kg</t>
  </si>
  <si>
    <t>konzerva pro psa</t>
  </si>
  <si>
    <t>dětská výživa</t>
  </si>
  <si>
    <t>lentilky</t>
  </si>
  <si>
    <t>kniha</t>
  </si>
  <si>
    <t>Cena celkem</t>
  </si>
  <si>
    <t>Odvedeno DPH</t>
  </si>
  <si>
    <t>Naformátujte tabulku</t>
  </si>
  <si>
    <t>Dopočítej položky v tabulce a tabulku naformátuj</t>
  </si>
  <si>
    <t>Čísla ve sloupcích obsahujících údaje v Kč zformátujte jako měna.</t>
  </si>
  <si>
    <t>Čísla ve sloupci DPH zformátujte jako % na jedno des. místo a zarovnejte je na střed.</t>
  </si>
  <si>
    <t>Spočítejte hodnoty cena celkem a odvedeno DPH</t>
  </si>
  <si>
    <t>Dopočítej sloupce s šedou výplní.</t>
  </si>
  <si>
    <t>Čísla ve sloupci prodáno kusů zarovnejte na střed.</t>
  </si>
  <si>
    <t>Dopočítejte hodnoty celkem.</t>
  </si>
  <si>
    <t>Kurz:</t>
  </si>
  <si>
    <t>Kč/USD</t>
  </si>
  <si>
    <t>Telefon</t>
  </si>
  <si>
    <t>nákup USD</t>
  </si>
  <si>
    <t>nákup Kč</t>
  </si>
  <si>
    <t>prodejní cena</t>
  </si>
  <si>
    <t>zisk za kus</t>
  </si>
  <si>
    <t>prodáno kusů</t>
  </si>
  <si>
    <t>tržba v Kč</t>
  </si>
  <si>
    <t>zisk v Kč</t>
  </si>
  <si>
    <t>Acer Liquid Z410</t>
  </si>
  <si>
    <t>Samsung Galaxy S7</t>
  </si>
  <si>
    <t>LG G4</t>
  </si>
  <si>
    <t>Huawei Nexus 6P</t>
  </si>
  <si>
    <t>ASUS ZenFone 2</t>
  </si>
  <si>
    <t>Motorola Moto G</t>
  </si>
  <si>
    <t>Celkem</t>
  </si>
  <si>
    <t>Kružnice:</t>
  </si>
  <si>
    <t>Zadejte poloměr r:</t>
  </si>
  <si>
    <t>Obvod kruhu o:</t>
  </si>
  <si>
    <t>Obsah kruhu S:</t>
  </si>
  <si>
    <t xml:space="preserve">Číslo Pí zapíšeme jako PI()  </t>
  </si>
  <si>
    <t>Obdélník</t>
  </si>
  <si>
    <t>Zadej stranu a:</t>
  </si>
  <si>
    <t>Zadej stranu b:</t>
  </si>
  <si>
    <t>Obvod obdélníku:</t>
  </si>
  <si>
    <t>Obsah obdélníku:</t>
  </si>
  <si>
    <t>zadejte číslo x</t>
  </si>
  <si>
    <t>x</t>
  </si>
  <si>
    <t>2x</t>
  </si>
  <si>
    <t>1/x</t>
  </si>
  <si>
    <t>-x</t>
  </si>
  <si>
    <t>Vypočítej své BMI</t>
  </si>
  <si>
    <t>zadej výšku v m:</t>
  </si>
  <si>
    <t>zadej váhu v kg:</t>
  </si>
  <si>
    <t>vaše BMI je:</t>
  </si>
  <si>
    <t>Jak vypočítat BMI: váha děleno výška v metrech na druhou</t>
  </si>
  <si>
    <t>V oranžových buňkách budou vloženy správné vzorce pro výpočet</t>
  </si>
  <si>
    <t>Tabulky se budou dynamicky měnit podle zadaných hodnot</t>
  </si>
  <si>
    <t>Do šedých buňek se vepisují hodnoty</t>
  </si>
  <si>
    <t>Strana a (m)</t>
  </si>
  <si>
    <t>Strana b (m)</t>
  </si>
  <si>
    <t>Obvod pozemku (m)</t>
  </si>
  <si>
    <t>Kterou výšku pletiva zvolíme?</t>
  </si>
  <si>
    <t>Výška pletiva (m)</t>
  </si>
  <si>
    <r>
      <t>Plocha pletiva (m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</si>
  <si>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Cena za m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2 </t>
    </r>
    <r>
      <rPr>
        <b/>
        <sz val="11"/>
        <color theme="1"/>
        <rFont val="Calibri"/>
        <family val="2"/>
        <charset val="238"/>
        <scheme val="minor"/>
      </rPr>
      <t xml:space="preserve"> (Kč)</t>
    </r>
  </si>
  <si>
    <t>Cena pletiva (Kč)</t>
  </si>
  <si>
    <t>Plot kolem obdelníkového pozemku</t>
  </si>
  <si>
    <t>x^2</t>
  </si>
  <si>
    <t>x^3</t>
  </si>
  <si>
    <t>tento řádek počítejte s hodnotami z tabulky výše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</si>
</sst>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&quot;Kč&quot;"/>
    <numFmt numFmtId="165" formatCode="0.0"/>
    <numFmt numFmtId="166" formatCode="#,##0\ &quot;Kč&quot;"/>
    <numFmt numFmtId="169" formatCode="_-* #,##0.00\ [$Kč-405]_-;\-* #,##0.00\ [$Kč-405]_-;_-* &quot;-&quot;??\ [$Kč-405]_-;_-@_-"/>
    <numFmt numFmtId="175" formatCode="#,##0.0\ &quot;Kč&quot;"/>
  </numFmts>
  <fonts count="1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0"/>
      <name val="Arial CE"/>
      <charset val="238"/>
    </font>
    <font>
      <b/>
      <sz val="14"/>
      <name val="Arial CE"/>
      <family val="2"/>
      <charset val="238"/>
    </font>
    <font>
      <b/>
      <vertAlign val="superscript"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3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0" fontId="8" fillId="0" borderId="0"/>
    <xf numFmtId="9" fontId="11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2" fillId="0" borderId="3" xfId="0" applyFont="1" applyBorder="1"/>
    <xf numFmtId="0" fontId="0" fillId="0" borderId="3" xfId="0" applyBorder="1"/>
    <xf numFmtId="0" fontId="2" fillId="0" borderId="1" xfId="0" applyFont="1" applyBorder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9" fillId="0" borderId="0" xfId="1" applyFont="1"/>
    <xf numFmtId="0" fontId="4" fillId="0" borderId="1" xfId="0" applyFont="1" applyBorder="1"/>
    <xf numFmtId="4" fontId="0" fillId="4" borderId="1" xfId="0" applyNumberFormat="1" applyFill="1" applyBorder="1"/>
    <xf numFmtId="165" fontId="0" fillId="3" borderId="1" xfId="0" applyNumberFormat="1" applyFill="1" applyBorder="1"/>
    <xf numFmtId="0" fontId="0" fillId="7" borderId="6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3" xfId="0" applyFill="1" applyBorder="1"/>
    <xf numFmtId="0" fontId="0" fillId="8" borderId="1" xfId="0" applyFill="1" applyBorder="1"/>
    <xf numFmtId="0" fontId="0" fillId="8" borderId="0" xfId="0" applyFill="1"/>
    <xf numFmtId="164" fontId="0" fillId="8" borderId="1" xfId="0" applyNumberFormat="1" applyFill="1" applyBorder="1"/>
    <xf numFmtId="2" fontId="0" fillId="8" borderId="1" xfId="0" applyNumberFormat="1" applyFill="1" applyBorder="1"/>
    <xf numFmtId="2" fontId="0" fillId="8" borderId="3" xfId="0" applyNumberFormat="1" applyFill="1" applyBorder="1"/>
    <xf numFmtId="14" fontId="0" fillId="0" borderId="1" xfId="0" applyNumberFormat="1" applyBorder="1"/>
    <xf numFmtId="0" fontId="0" fillId="8" borderId="1" xfId="0" quotePrefix="1" applyFill="1" applyBorder="1"/>
    <xf numFmtId="164" fontId="0" fillId="5" borderId="1" xfId="0" applyNumberFormat="1" applyFill="1" applyBorder="1"/>
    <xf numFmtId="164" fontId="0" fillId="2" borderId="1" xfId="0" applyNumberFormat="1" applyFill="1" applyBorder="1"/>
    <xf numFmtId="9" fontId="0" fillId="5" borderId="1" xfId="0" applyNumberFormat="1" applyFill="1" applyBorder="1"/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7" xfId="0" applyBorder="1"/>
    <xf numFmtId="166" fontId="0" fillId="8" borderId="7" xfId="0" applyNumberFormat="1" applyFill="1" applyBorder="1" applyAlignment="1">
      <alignment horizontal="left" indent="1"/>
    </xf>
    <xf numFmtId="166" fontId="0" fillId="0" borderId="7" xfId="0" applyNumberFormat="1" applyBorder="1" applyAlignment="1">
      <alignment horizontal="left" indent="1"/>
    </xf>
    <xf numFmtId="166" fontId="0" fillId="8" borderId="7" xfId="0" applyNumberFormat="1" applyFill="1" applyBorder="1"/>
    <xf numFmtId="0" fontId="0" fillId="8" borderId="7" xfId="0" applyFill="1" applyBorder="1"/>
    <xf numFmtId="166" fontId="0" fillId="0" borderId="7" xfId="0" applyNumberFormat="1" applyBorder="1"/>
    <xf numFmtId="0" fontId="12" fillId="0" borderId="0" xfId="0" applyFont="1"/>
    <xf numFmtId="175" fontId="0" fillId="8" borderId="1" xfId="2" applyNumberFormat="1" applyFont="1" applyFill="1" applyBorder="1"/>
    <xf numFmtId="169" fontId="0" fillId="0" borderId="0" xfId="0" applyNumberFormat="1"/>
  </cellXfs>
  <cellStyles count="3">
    <cellStyle name="Normální" xfId="0" builtinId="0"/>
    <cellStyle name="normální 2" xfId="1" xr:uid="{59560763-3309-A54C-AC9A-4AA7A85409CE}"/>
    <cellStyle name="Procenta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USD/CZK</v>
    <v>2</v>
    <v>3</v>
    <v>Finance</v>
    <v>4</v>
    <v>en</v>
    <v>avymoc</v>
    <v>268435456</v>
    <v>1</v>
    <v>Powered by Refinitiv</v>
    <v>23.774000000000001</v>
    <v>20.981000000000002</v>
    <v>CZK</v>
    <v>USD</v>
    <v>23.126999999999999</v>
    <v>3.0000000000000001E-3</v>
    <v>1.2999999999999999E-4</v>
    <v>Currency Pair</v>
    <v>45369.415937500002</v>
    <v>23.067</v>
    <v>US Dollar/Czech Koruna FX Spot Rate</v>
    <v>23.074999999999999</v>
    <v>23.074999999999999</v>
    <v>23.077999999999999</v>
    <v>USDCZK</v>
    <v>USD/CZK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urrency" t="s"/>
    <k n="From currency" t="s"/>
    <k n="High"/>
    <k n="Change"/>
    <k n="Change (%)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14" formatCode="0.00%"/>
    </x:dxf>
    <x:dxf>
      <x:numFmt numFmtId="27" formatCode="dd/mm/yyyy\ h:mm"/>
    </x:dxf>
  </dxfs>
  <richProperties>
    <rPr n="NumberFormat" t="s"/>
    <rPr n="IsTitleField" t="b"/>
  </richProperties>
  <richStyles>
    <rSty dxfid="1">
      <rpv i="0">_-* #,##0.00 [$Kč-cs-CZ]_-;-* #,##0.00 [$Kč-cs-CZ]_-;_-* "-"?? [$Kč-cs-CZ]_-;_-@_-</rpv>
    </rSty>
    <rSty>
      <rpv i="1">1</rpv>
    </rSty>
    <rSty dxfid="2"/>
    <rSty dxfid="3"/>
    <rSty dxfid="0">
      <rpv i="0">0.00</rpv>
    </rSty>
  </richStyles>
</richStyleSheet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90F0-27B5-5C41-8D18-F0471B9B950F}">
  <dimension ref="B3:G46"/>
  <sheetViews>
    <sheetView topLeftCell="A12" zoomScale="184" workbookViewId="0">
      <selection activeCell="C45" sqref="C45"/>
    </sheetView>
  </sheetViews>
  <sheetFormatPr baseColWidth="10" defaultRowHeight="16"/>
  <cols>
    <col min="2" max="2" width="20.33203125" customWidth="1"/>
    <col min="3" max="3" width="15.6640625" bestFit="1" customWidth="1"/>
  </cols>
  <sheetData>
    <row r="3" spans="2:5">
      <c r="B3" s="1" t="s">
        <v>0</v>
      </c>
    </row>
    <row r="4" spans="2:5">
      <c r="B4" t="s">
        <v>128</v>
      </c>
    </row>
    <row r="5" spans="2:5">
      <c r="B5" t="s">
        <v>126</v>
      </c>
    </row>
    <row r="6" spans="2:5">
      <c r="B6" t="s">
        <v>127</v>
      </c>
    </row>
    <row r="9" spans="2:5">
      <c r="B9" s="11" t="s">
        <v>106</v>
      </c>
      <c r="C9" s="2"/>
    </row>
    <row r="10" spans="2:5">
      <c r="B10" s="2" t="s">
        <v>107</v>
      </c>
      <c r="C10" s="14">
        <v>1</v>
      </c>
      <c r="E10" t="s">
        <v>110</v>
      </c>
    </row>
    <row r="11" spans="2:5">
      <c r="B11" s="2" t="s">
        <v>108</v>
      </c>
      <c r="C11" s="15">
        <f>2*PI()*C10</f>
        <v>6.2831853071795862</v>
      </c>
    </row>
    <row r="12" spans="2:5">
      <c r="B12" s="2" t="s">
        <v>109</v>
      </c>
      <c r="C12" s="15">
        <f>PI()*C10^2</f>
        <v>3.1415926535897931</v>
      </c>
    </row>
    <row r="14" spans="2:5">
      <c r="B14" s="11" t="s">
        <v>111</v>
      </c>
      <c r="C14" s="2"/>
    </row>
    <row r="15" spans="2:5">
      <c r="B15" s="2" t="s">
        <v>112</v>
      </c>
      <c r="C15" s="14">
        <v>3</v>
      </c>
    </row>
    <row r="16" spans="2:5">
      <c r="B16" s="2" t="s">
        <v>113</v>
      </c>
      <c r="C16" s="14">
        <v>4</v>
      </c>
    </row>
    <row r="17" spans="2:5">
      <c r="B17" s="2" t="s">
        <v>114</v>
      </c>
      <c r="C17" s="15">
        <f>C15*2+C16*2</f>
        <v>14</v>
      </c>
    </row>
    <row r="18" spans="2:5">
      <c r="B18" s="2" t="s">
        <v>115</v>
      </c>
      <c r="C18" s="15">
        <f>C15*C16</f>
        <v>12</v>
      </c>
    </row>
    <row r="21" spans="2:5">
      <c r="B21" s="11" t="s">
        <v>116</v>
      </c>
      <c r="C21" s="14">
        <v>4</v>
      </c>
    </row>
    <row r="22" spans="2:5">
      <c r="B22" s="2" t="s">
        <v>117</v>
      </c>
      <c r="C22" s="15">
        <f>C21</f>
        <v>4</v>
      </c>
    </row>
    <row r="23" spans="2:5">
      <c r="B23" s="2" t="s">
        <v>118</v>
      </c>
      <c r="C23" s="15">
        <f>C22*2</f>
        <v>8</v>
      </c>
    </row>
    <row r="24" spans="2:5">
      <c r="B24" s="2" t="s">
        <v>138</v>
      </c>
      <c r="C24" s="15">
        <f>C22^2</f>
        <v>16</v>
      </c>
    </row>
    <row r="25" spans="2:5">
      <c r="B25" s="2" t="s">
        <v>139</v>
      </c>
      <c r="C25" s="15">
        <f>C22^3</f>
        <v>64</v>
      </c>
    </row>
    <row r="26" spans="2:5">
      <c r="B26" s="2" t="s">
        <v>119</v>
      </c>
      <c r="C26" s="15">
        <f>1/C22</f>
        <v>0.25</v>
      </c>
    </row>
    <row r="27" spans="2:5">
      <c r="B27" s="2" t="s">
        <v>120</v>
      </c>
      <c r="C27" s="15">
        <f>-C22</f>
        <v>-4</v>
      </c>
    </row>
    <row r="30" spans="2:5">
      <c r="B30" s="36" t="s">
        <v>121</v>
      </c>
      <c r="C30" s="37"/>
      <c r="E30" t="s">
        <v>125</v>
      </c>
    </row>
    <row r="31" spans="2:5">
      <c r="B31" s="2" t="s">
        <v>122</v>
      </c>
      <c r="C31" s="14">
        <v>2</v>
      </c>
    </row>
    <row r="32" spans="2:5">
      <c r="B32" s="2" t="s">
        <v>123</v>
      </c>
      <c r="C32" s="14">
        <v>70</v>
      </c>
    </row>
    <row r="33" spans="2:7">
      <c r="B33" s="2" t="s">
        <v>124</v>
      </c>
      <c r="C33" s="15">
        <f>C32/C31^2</f>
        <v>17.5</v>
      </c>
    </row>
    <row r="36" spans="2:7" ht="18">
      <c r="B36" s="16"/>
    </row>
    <row r="37" spans="2:7">
      <c r="B37" s="36" t="s">
        <v>137</v>
      </c>
      <c r="C37" s="37"/>
    </row>
    <row r="38" spans="2:7">
      <c r="B38" s="17" t="s">
        <v>129</v>
      </c>
      <c r="C38" s="14">
        <v>20</v>
      </c>
    </row>
    <row r="39" spans="2:7">
      <c r="B39" s="17" t="s">
        <v>130</v>
      </c>
      <c r="C39" s="14">
        <v>55</v>
      </c>
    </row>
    <row r="40" spans="2:7">
      <c r="B40" s="17" t="s">
        <v>131</v>
      </c>
      <c r="C40" s="15">
        <f>C38*2+C39*2</f>
        <v>150</v>
      </c>
    </row>
    <row r="41" spans="2:7">
      <c r="B41" s="8"/>
    </row>
    <row r="42" spans="2:7">
      <c r="B42" s="35" t="s">
        <v>132</v>
      </c>
      <c r="C42" s="35"/>
      <c r="D42" s="35"/>
      <c r="E42" s="35"/>
    </row>
    <row r="43" spans="2:7">
      <c r="B43" s="6" t="s">
        <v>133</v>
      </c>
      <c r="C43" s="14">
        <v>1.25</v>
      </c>
      <c r="D43" s="14">
        <v>1.6</v>
      </c>
      <c r="E43" s="19">
        <v>2</v>
      </c>
    </row>
    <row r="44" spans="2:7" ht="17">
      <c r="B44" s="6" t="s">
        <v>134</v>
      </c>
      <c r="C44" s="15">
        <f>$C$40*C43</f>
        <v>187.5</v>
      </c>
      <c r="D44" s="15">
        <f t="shared" ref="D44:E44" si="0">$C$40*D43</f>
        <v>240</v>
      </c>
      <c r="E44" s="15">
        <f t="shared" si="0"/>
        <v>300</v>
      </c>
      <c r="G44" t="s">
        <v>140</v>
      </c>
    </row>
    <row r="45" spans="2:7" ht="17">
      <c r="B45" s="6" t="s">
        <v>135</v>
      </c>
      <c r="C45" s="14">
        <v>99</v>
      </c>
      <c r="D45" s="14">
        <v>139</v>
      </c>
      <c r="E45" s="14">
        <v>199</v>
      </c>
    </row>
    <row r="46" spans="2:7">
      <c r="B46" s="6" t="s">
        <v>136</v>
      </c>
      <c r="C46" s="18">
        <f>C44*C45</f>
        <v>18562.5</v>
      </c>
      <c r="D46" s="18">
        <f>D44*D45</f>
        <v>33360</v>
      </c>
      <c r="E46" s="18">
        <f>E44*E45</f>
        <v>59700</v>
      </c>
    </row>
  </sheetData>
  <mergeCells count="3">
    <mergeCell ref="B42:E42"/>
    <mergeCell ref="B37:C37"/>
    <mergeCell ref="B30:C3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F3CD-5E7A-8A44-A204-EFF00DC598AC}">
  <dimension ref="A2:C16"/>
  <sheetViews>
    <sheetView zoomScale="242" zoomScaleNormal="150" workbookViewId="0">
      <selection activeCell="D7" sqref="D7"/>
    </sheetView>
  </sheetViews>
  <sheetFormatPr baseColWidth="10" defaultRowHeight="16"/>
  <cols>
    <col min="1" max="1" width="15.83203125" customWidth="1"/>
    <col min="2" max="2" width="18" customWidth="1"/>
    <col min="3" max="3" width="17" customWidth="1"/>
  </cols>
  <sheetData>
    <row r="2" spans="1:3">
      <c r="A2" s="1" t="s">
        <v>0</v>
      </c>
    </row>
    <row r="3" spans="1:3">
      <c r="A3" t="s">
        <v>1</v>
      </c>
    </row>
    <row r="4" spans="1:3">
      <c r="A4" t="s">
        <v>2</v>
      </c>
    </row>
    <row r="7" spans="1:3">
      <c r="A7" s="23" t="s">
        <v>3</v>
      </c>
      <c r="B7" s="21">
        <v>3650</v>
      </c>
    </row>
    <row r="9" spans="1:3">
      <c r="A9" s="20" t="s">
        <v>4</v>
      </c>
      <c r="B9" s="20" t="s">
        <v>5</v>
      </c>
      <c r="C9" s="20" t="s">
        <v>6</v>
      </c>
    </row>
    <row r="10" spans="1:3">
      <c r="A10" s="21" t="s">
        <v>8</v>
      </c>
      <c r="B10" s="21">
        <v>1200</v>
      </c>
      <c r="C10" s="22">
        <f>$B$7-B10</f>
        <v>2450</v>
      </c>
    </row>
    <row r="11" spans="1:3">
      <c r="A11" s="21" t="s">
        <v>7</v>
      </c>
      <c r="B11" s="21">
        <v>110</v>
      </c>
      <c r="C11" s="22">
        <f t="shared" ref="C11:C16" si="0">$B$7-B11</f>
        <v>3540</v>
      </c>
    </row>
    <row r="12" spans="1:3">
      <c r="A12" s="21" t="s">
        <v>9</v>
      </c>
      <c r="B12" s="21">
        <v>800</v>
      </c>
      <c r="C12" s="22">
        <f t="shared" si="0"/>
        <v>2850</v>
      </c>
    </row>
    <row r="13" spans="1:3">
      <c r="A13" s="21" t="s">
        <v>10</v>
      </c>
      <c r="B13" s="21">
        <v>2400</v>
      </c>
      <c r="C13" s="22">
        <f t="shared" si="0"/>
        <v>1250</v>
      </c>
    </row>
    <row r="14" spans="1:3">
      <c r="A14" s="21" t="s">
        <v>11</v>
      </c>
      <c r="B14" s="21">
        <v>1300</v>
      </c>
      <c r="C14" s="22">
        <f t="shared" si="0"/>
        <v>2350</v>
      </c>
    </row>
    <row r="15" spans="1:3">
      <c r="A15" s="21" t="s">
        <v>12</v>
      </c>
      <c r="B15" s="21">
        <v>650</v>
      </c>
      <c r="C15" s="22">
        <f t="shared" si="0"/>
        <v>3000</v>
      </c>
    </row>
    <row r="16" spans="1:3">
      <c r="A16" s="21" t="s">
        <v>13</v>
      </c>
      <c r="B16" s="21">
        <v>1950</v>
      </c>
      <c r="C16" s="22">
        <f t="shared" si="0"/>
        <v>1700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68CC-AE11-2942-8C53-0F79FF9141FF}">
  <dimension ref="B3:H23"/>
  <sheetViews>
    <sheetView topLeftCell="A2" zoomScale="191" zoomScaleNormal="215" workbookViewId="0">
      <selection activeCell="H15" sqref="H15"/>
    </sheetView>
  </sheetViews>
  <sheetFormatPr baseColWidth="10" defaultRowHeight="16"/>
  <cols>
    <col min="2" max="2" width="14.5" customWidth="1"/>
    <col min="3" max="3" width="18.6640625" customWidth="1"/>
    <col min="4" max="4" width="14.6640625" customWidth="1"/>
    <col min="5" max="5" width="13.6640625" customWidth="1"/>
    <col min="6" max="6" width="17.1640625" customWidth="1"/>
    <col min="7" max="7" width="17.6640625" customWidth="1"/>
    <col min="8" max="8" width="17.83203125" customWidth="1"/>
  </cols>
  <sheetData>
    <row r="3" spans="2:8">
      <c r="B3" s="1" t="s">
        <v>0</v>
      </c>
    </row>
    <row r="4" spans="2:8">
      <c r="B4" s="7" t="s">
        <v>38</v>
      </c>
    </row>
    <row r="5" spans="2:8">
      <c r="B5" t="s">
        <v>35</v>
      </c>
    </row>
    <row r="6" spans="2:8">
      <c r="B6" t="s">
        <v>36</v>
      </c>
    </row>
    <row r="7" spans="2:8">
      <c r="B7" t="s">
        <v>37</v>
      </c>
    </row>
    <row r="8" spans="2:8">
      <c r="B8" t="s">
        <v>39</v>
      </c>
    </row>
    <row r="12" spans="2:8">
      <c r="B12" s="38" t="s">
        <v>14</v>
      </c>
      <c r="C12" s="12" t="s">
        <v>21</v>
      </c>
      <c r="D12" s="12" t="s">
        <v>22</v>
      </c>
      <c r="E12" s="12" t="s">
        <v>23</v>
      </c>
      <c r="F12" s="12" t="s">
        <v>24</v>
      </c>
      <c r="G12" s="12" t="s">
        <v>25</v>
      </c>
      <c r="H12" s="12" t="s">
        <v>26</v>
      </c>
    </row>
    <row r="13" spans="2:8">
      <c r="B13" s="39"/>
      <c r="C13" s="13" t="s">
        <v>27</v>
      </c>
      <c r="D13" s="13" t="s">
        <v>28</v>
      </c>
      <c r="E13" s="13" t="s">
        <v>29</v>
      </c>
      <c r="F13" s="13" t="s">
        <v>29</v>
      </c>
      <c r="G13" s="13" t="s">
        <v>29</v>
      </c>
      <c r="H13" s="13" t="s">
        <v>29</v>
      </c>
    </row>
    <row r="14" spans="2:8">
      <c r="B14" s="4" t="s">
        <v>30</v>
      </c>
      <c r="C14" s="5">
        <v>6816</v>
      </c>
      <c r="D14" s="24">
        <f>C14*C21</f>
        <v>36124.799999999996</v>
      </c>
      <c r="E14" s="24">
        <f>D14*F20</f>
        <v>866995.19999999995</v>
      </c>
      <c r="F14" s="5">
        <v>3000</v>
      </c>
      <c r="G14" s="29">
        <f>E14+F14</f>
        <v>869995.2</v>
      </c>
      <c r="H14" s="29">
        <f>G14/C14</f>
        <v>127.64014084507042</v>
      </c>
    </row>
    <row r="15" spans="2:8">
      <c r="B15" s="6" t="s">
        <v>31</v>
      </c>
      <c r="C15" s="2">
        <v>4461</v>
      </c>
      <c r="D15" s="24">
        <f>C15*C22</f>
        <v>42379.5</v>
      </c>
      <c r="E15" s="28">
        <f>D15*F20</f>
        <v>1017108</v>
      </c>
      <c r="F15" s="2">
        <v>0</v>
      </c>
      <c r="G15" s="29">
        <f t="shared" ref="G15:G16" si="0">E15+F15</f>
        <v>1017108</v>
      </c>
      <c r="H15" s="29">
        <f t="shared" ref="H15:H16" si="1">G15/C15</f>
        <v>228</v>
      </c>
    </row>
    <row r="16" spans="2:8">
      <c r="B16" s="6" t="s">
        <v>32</v>
      </c>
      <c r="C16" s="2">
        <v>7632</v>
      </c>
      <c r="D16" s="25">
        <f>C16*C23</f>
        <v>51897.599999999999</v>
      </c>
      <c r="E16" s="27">
        <f>D16*F21</f>
        <v>830361.59999999998</v>
      </c>
      <c r="F16" s="2">
        <v>5421</v>
      </c>
      <c r="G16" s="29">
        <f t="shared" si="0"/>
        <v>835782.6</v>
      </c>
      <c r="H16" s="29">
        <f t="shared" si="1"/>
        <v>109.51029874213836</v>
      </c>
    </row>
    <row r="17" spans="2:8">
      <c r="B17" s="6" t="s">
        <v>33</v>
      </c>
      <c r="C17" s="25">
        <f>C14+C15+C16</f>
        <v>18909</v>
      </c>
      <c r="D17" s="25">
        <f>D14+D15+D16</f>
        <v>130401.9</v>
      </c>
      <c r="E17" s="28">
        <f>E14+E15+E16</f>
        <v>2714464.8</v>
      </c>
      <c r="F17" s="28">
        <f>F14+F15+F16</f>
        <v>8421</v>
      </c>
      <c r="G17" s="28">
        <f>G14+G15+G16</f>
        <v>2722885.8</v>
      </c>
      <c r="H17" s="2" t="s">
        <v>34</v>
      </c>
    </row>
    <row r="18" spans="2:8">
      <c r="C18" s="26"/>
      <c r="D18" s="26"/>
      <c r="E18" s="26"/>
      <c r="F18" s="26"/>
      <c r="G18" s="26"/>
    </row>
    <row r="20" spans="2:8">
      <c r="B20" s="2" t="s">
        <v>14</v>
      </c>
      <c r="C20" s="2" t="s">
        <v>15</v>
      </c>
      <c r="E20" s="2" t="s">
        <v>16</v>
      </c>
      <c r="F20" s="3">
        <v>24</v>
      </c>
    </row>
    <row r="21" spans="2:8">
      <c r="B21" s="2" t="s">
        <v>17</v>
      </c>
      <c r="C21" s="2">
        <v>5.3</v>
      </c>
      <c r="E21" s="2" t="s">
        <v>18</v>
      </c>
      <c r="F21" s="3">
        <v>16</v>
      </c>
    </row>
    <row r="22" spans="2:8">
      <c r="B22" s="2" t="s">
        <v>19</v>
      </c>
      <c r="C22" s="2">
        <v>9.5</v>
      </c>
    </row>
    <row r="23" spans="2:8">
      <c r="B23" s="2" t="s">
        <v>20</v>
      </c>
      <c r="C23" s="2">
        <v>6.8</v>
      </c>
    </row>
  </sheetData>
  <mergeCells count="1">
    <mergeCell ref="B12:B1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681-8726-0340-85BB-BF01902FCB58}">
  <dimension ref="B2:G21"/>
  <sheetViews>
    <sheetView zoomScale="158" workbookViewId="0">
      <selection activeCell="H14" sqref="H14"/>
    </sheetView>
  </sheetViews>
  <sheetFormatPr baseColWidth="10" defaultRowHeight="16"/>
  <cols>
    <col min="2" max="2" width="12.5" customWidth="1"/>
    <col min="3" max="3" width="12.1640625" customWidth="1"/>
    <col min="4" max="4" width="19" customWidth="1"/>
    <col min="5" max="5" width="13.33203125" customWidth="1"/>
    <col min="6" max="6" width="18.33203125" customWidth="1"/>
    <col min="7" max="7" width="10.83203125" customWidth="1"/>
  </cols>
  <sheetData>
    <row r="2" spans="2:7">
      <c r="B2" s="1" t="s">
        <v>0</v>
      </c>
    </row>
    <row r="3" spans="2:7">
      <c r="B3" s="9" t="s">
        <v>38</v>
      </c>
      <c r="C3" s="9"/>
      <c r="D3" s="9"/>
    </row>
    <row r="4" spans="2:7">
      <c r="B4" s="10" t="s">
        <v>35</v>
      </c>
      <c r="C4" s="10"/>
      <c r="D4" s="10"/>
    </row>
    <row r="5" spans="2:7">
      <c r="B5" t="s">
        <v>51</v>
      </c>
    </row>
    <row r="6" spans="2:7">
      <c r="B6" t="s">
        <v>52</v>
      </c>
    </row>
    <row r="9" spans="2:7">
      <c r="B9" t="s">
        <v>40</v>
      </c>
      <c r="D9" s="2">
        <v>24</v>
      </c>
    </row>
    <row r="11" spans="2:7"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  <c r="G11" s="2" t="s">
        <v>46</v>
      </c>
    </row>
    <row r="12" spans="2:7">
      <c r="B12" s="30">
        <v>44291</v>
      </c>
      <c r="C12" s="2" t="s">
        <v>47</v>
      </c>
      <c r="D12" s="2">
        <v>7.8</v>
      </c>
      <c r="E12" s="2">
        <v>112</v>
      </c>
      <c r="F12" s="25">
        <f>E12/100*D12</f>
        <v>8.7360000000000007</v>
      </c>
      <c r="G12" s="25">
        <f>F12*$D$9</f>
        <v>209.66400000000002</v>
      </c>
    </row>
    <row r="13" spans="2:7">
      <c r="B13" s="30">
        <v>44199</v>
      </c>
      <c r="C13" s="2" t="s">
        <v>48</v>
      </c>
      <c r="D13" s="2">
        <v>6.2</v>
      </c>
      <c r="E13" s="2">
        <v>152</v>
      </c>
      <c r="F13" s="25">
        <f t="shared" ref="F13:F20" si="0">E13/100*D13</f>
        <v>9.4240000000000013</v>
      </c>
      <c r="G13" s="25">
        <f t="shared" ref="G13:G20" si="1">F13*$D$9</f>
        <v>226.17600000000004</v>
      </c>
    </row>
    <row r="14" spans="2:7">
      <c r="B14" s="30">
        <v>44239</v>
      </c>
      <c r="C14" s="2" t="s">
        <v>49</v>
      </c>
      <c r="D14" s="2">
        <v>5.9</v>
      </c>
      <c r="E14" s="2">
        <v>236</v>
      </c>
      <c r="F14" s="25">
        <f t="shared" si="0"/>
        <v>13.923999999999999</v>
      </c>
      <c r="G14" s="25">
        <f t="shared" si="1"/>
        <v>334.17599999999999</v>
      </c>
    </row>
    <row r="15" spans="2:7">
      <c r="B15" s="30">
        <v>44206</v>
      </c>
      <c r="C15" s="2" t="s">
        <v>47</v>
      </c>
      <c r="D15" s="2">
        <v>8.1</v>
      </c>
      <c r="E15" s="2">
        <v>298</v>
      </c>
      <c r="F15" s="25">
        <f t="shared" si="0"/>
        <v>24.137999999999998</v>
      </c>
      <c r="G15" s="25">
        <f t="shared" si="1"/>
        <v>579.3119999999999</v>
      </c>
    </row>
    <row r="16" spans="2:7">
      <c r="B16" s="30">
        <v>44278</v>
      </c>
      <c r="C16" s="2" t="s">
        <v>48</v>
      </c>
      <c r="D16" s="2">
        <v>5.9</v>
      </c>
      <c r="E16" s="2">
        <v>240</v>
      </c>
      <c r="F16" s="25">
        <f t="shared" si="0"/>
        <v>14.16</v>
      </c>
      <c r="G16" s="25">
        <f t="shared" si="1"/>
        <v>339.84000000000003</v>
      </c>
    </row>
    <row r="17" spans="2:7">
      <c r="B17" s="30">
        <v>44304</v>
      </c>
      <c r="C17" s="2" t="s">
        <v>47</v>
      </c>
      <c r="D17" s="2">
        <v>9.1</v>
      </c>
      <c r="E17" s="2">
        <v>453</v>
      </c>
      <c r="F17" s="25">
        <f t="shared" si="0"/>
        <v>41.222999999999999</v>
      </c>
      <c r="G17" s="25">
        <f t="shared" si="1"/>
        <v>989.35199999999998</v>
      </c>
    </row>
    <row r="18" spans="2:7">
      <c r="B18" s="30">
        <v>44302</v>
      </c>
      <c r="C18" s="2" t="s">
        <v>48</v>
      </c>
      <c r="D18" s="2">
        <v>6.2</v>
      </c>
      <c r="E18" s="2">
        <v>196</v>
      </c>
      <c r="F18" s="25">
        <f t="shared" si="0"/>
        <v>12.151999999999999</v>
      </c>
      <c r="G18" s="25">
        <f t="shared" si="1"/>
        <v>291.64799999999997</v>
      </c>
    </row>
    <row r="19" spans="2:7">
      <c r="B19" s="30">
        <v>44305</v>
      </c>
      <c r="C19" s="2" t="s">
        <v>47</v>
      </c>
      <c r="D19" s="2">
        <v>10.5</v>
      </c>
      <c r="E19" s="2">
        <v>421</v>
      </c>
      <c r="F19" s="25">
        <f t="shared" si="0"/>
        <v>44.204999999999998</v>
      </c>
      <c r="G19" s="25">
        <f t="shared" si="1"/>
        <v>1060.92</v>
      </c>
    </row>
    <row r="20" spans="2:7">
      <c r="B20" s="30">
        <v>44203</v>
      </c>
      <c r="C20" s="2" t="s">
        <v>49</v>
      </c>
      <c r="D20" s="2">
        <v>5.9</v>
      </c>
      <c r="E20" s="2">
        <v>188</v>
      </c>
      <c r="F20" s="25">
        <f t="shared" si="0"/>
        <v>11.092000000000001</v>
      </c>
      <c r="G20" s="25">
        <f t="shared" si="1"/>
        <v>266.20800000000003</v>
      </c>
    </row>
    <row r="21" spans="2:7">
      <c r="E21" t="s">
        <v>50</v>
      </c>
      <c r="F21" s="5">
        <f>F12+F13+F14+F15+F16+F17+F18+F19+F20</f>
        <v>179.054</v>
      </c>
      <c r="G21" s="5">
        <f>G12+G13+G14+G15+G16+G18+G17+G19+G20</f>
        <v>4297.2960000000003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F54D-B69E-0343-A29B-27C1435DF91F}">
  <dimension ref="B3:C18"/>
  <sheetViews>
    <sheetView zoomScale="287" zoomScaleNormal="287" workbookViewId="0">
      <selection activeCell="D19" sqref="D19"/>
    </sheetView>
  </sheetViews>
  <sheetFormatPr baseColWidth="10" defaultRowHeight="16"/>
  <cols>
    <col min="2" max="2" width="17.33203125" customWidth="1"/>
    <col min="3" max="3" width="24.1640625" customWidth="1"/>
  </cols>
  <sheetData>
    <row r="3" spans="2:3">
      <c r="B3" s="1" t="s">
        <v>54</v>
      </c>
    </row>
    <row r="4" spans="2:3">
      <c r="B4" t="s">
        <v>55</v>
      </c>
    </row>
    <row r="5" spans="2:3">
      <c r="B5" t="s">
        <v>38</v>
      </c>
    </row>
    <row r="8" spans="2:3">
      <c r="B8" t="s">
        <v>53</v>
      </c>
    </row>
    <row r="10" spans="2:3">
      <c r="B10" s="2" t="s">
        <v>56</v>
      </c>
      <c r="C10" s="2">
        <v>75</v>
      </c>
    </row>
    <row r="11" spans="2:3">
      <c r="B11" s="11" t="s">
        <v>57</v>
      </c>
      <c r="C11" s="25">
        <f>C10</f>
        <v>75</v>
      </c>
    </row>
    <row r="12" spans="2:3">
      <c r="B12" s="11" t="s">
        <v>58</v>
      </c>
      <c r="C12" s="25">
        <f>C11*60</f>
        <v>4500</v>
      </c>
    </row>
    <row r="13" spans="2:3">
      <c r="B13" s="11" t="s">
        <v>59</v>
      </c>
      <c r="C13" s="25">
        <f>C12*24</f>
        <v>108000</v>
      </c>
    </row>
    <row r="14" spans="2:3">
      <c r="B14" s="11" t="s">
        <v>60</v>
      </c>
      <c r="C14" s="25">
        <f>C13*7</f>
        <v>756000</v>
      </c>
    </row>
    <row r="15" spans="2:3">
      <c r="B15" s="11" t="s">
        <v>61</v>
      </c>
      <c r="C15" s="25">
        <f>C14*30</f>
        <v>22680000</v>
      </c>
    </row>
    <row r="16" spans="2:3">
      <c r="B16" s="11" t="s">
        <v>62</v>
      </c>
      <c r="C16" s="31">
        <f>C15*12</f>
        <v>272160000</v>
      </c>
    </row>
    <row r="17" spans="2:3">
      <c r="B17" s="11" t="s">
        <v>63</v>
      </c>
      <c r="C17" s="25">
        <f>C16*85</f>
        <v>23133600000</v>
      </c>
    </row>
    <row r="18" spans="2:3">
      <c r="B18" s="11" t="s">
        <v>64</v>
      </c>
      <c r="C18" s="25">
        <f>C16*100</f>
        <v>27216000000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5E58-6CDB-B644-9921-E98A231674A7}">
  <dimension ref="B4:H23"/>
  <sheetViews>
    <sheetView topLeftCell="A3" zoomScale="246" zoomScaleNormal="246" workbookViewId="0">
      <selection activeCell="H14" sqref="H14"/>
    </sheetView>
  </sheetViews>
  <sheetFormatPr baseColWidth="10" defaultRowHeight="16"/>
  <cols>
    <col min="2" max="2" width="15.1640625" customWidth="1"/>
    <col min="3" max="3" width="17.6640625" customWidth="1"/>
    <col min="4" max="4" width="12.33203125" customWidth="1"/>
    <col min="5" max="5" width="11.1640625" bestFit="1" customWidth="1"/>
  </cols>
  <sheetData>
    <row r="4" spans="2:8">
      <c r="B4" s="1" t="s">
        <v>54</v>
      </c>
    </row>
    <row r="5" spans="2:8">
      <c r="B5" t="s">
        <v>81</v>
      </c>
    </row>
    <row r="6" spans="2:8">
      <c r="B6" t="s">
        <v>82</v>
      </c>
    </row>
    <row r="7" spans="2:8">
      <c r="B7" t="s">
        <v>83</v>
      </c>
    </row>
    <row r="8" spans="2:8">
      <c r="B8" t="s">
        <v>84</v>
      </c>
    </row>
    <row r="9" spans="2:8">
      <c r="B9" t="s">
        <v>85</v>
      </c>
    </row>
    <row r="10" spans="2:8">
      <c r="B10" t="s">
        <v>52</v>
      </c>
    </row>
    <row r="13" spans="2:8">
      <c r="B13" s="23" t="s">
        <v>65</v>
      </c>
      <c r="C13" s="23" t="s">
        <v>66</v>
      </c>
      <c r="D13" s="23" t="s">
        <v>67</v>
      </c>
      <c r="E13" s="23" t="s">
        <v>68</v>
      </c>
      <c r="F13" s="23" t="s">
        <v>69</v>
      </c>
      <c r="G13" s="23" t="s">
        <v>70</v>
      </c>
      <c r="H13" s="23" t="s">
        <v>71</v>
      </c>
    </row>
    <row r="14" spans="2:8">
      <c r="B14" s="22" t="s">
        <v>72</v>
      </c>
      <c r="C14" s="32">
        <v>2.17</v>
      </c>
      <c r="D14" s="34">
        <v>0.15</v>
      </c>
      <c r="E14" s="32">
        <f>F14-C14</f>
        <v>0.3254999999999999</v>
      </c>
      <c r="F14" s="32">
        <f>C14+(C14/100)*15</f>
        <v>2.4954999999999998</v>
      </c>
      <c r="G14" s="21">
        <v>8</v>
      </c>
      <c r="H14" s="32">
        <f>G14*F14</f>
        <v>19.963999999999999</v>
      </c>
    </row>
    <row r="15" spans="2:8">
      <c r="B15" s="22" t="s">
        <v>73</v>
      </c>
      <c r="C15" s="32">
        <v>24</v>
      </c>
      <c r="D15" s="34">
        <v>0.15</v>
      </c>
      <c r="E15" s="32">
        <f t="shared" ref="E15:E20" si="0">F15-C15</f>
        <v>3.6000000000000014</v>
      </c>
      <c r="F15" s="32">
        <f t="shared" ref="F15:F20" si="1">C15+(C15/100)*15</f>
        <v>27.6</v>
      </c>
      <c r="G15" s="21">
        <v>1</v>
      </c>
      <c r="H15" s="32">
        <f t="shared" ref="H15:H20" si="2">G15*F15</f>
        <v>27.6</v>
      </c>
    </row>
    <row r="16" spans="2:8">
      <c r="B16" s="22" t="s">
        <v>74</v>
      </c>
      <c r="C16" s="32">
        <v>26</v>
      </c>
      <c r="D16" s="34">
        <v>0.15</v>
      </c>
      <c r="E16" s="32">
        <f t="shared" si="0"/>
        <v>3.8999999999999986</v>
      </c>
      <c r="F16" s="32">
        <f t="shared" si="1"/>
        <v>29.9</v>
      </c>
      <c r="G16" s="21">
        <v>1</v>
      </c>
      <c r="H16" s="32">
        <f t="shared" si="2"/>
        <v>29.9</v>
      </c>
    </row>
    <row r="17" spans="2:8">
      <c r="B17" s="22" t="s">
        <v>75</v>
      </c>
      <c r="C17" s="32">
        <v>36.450000000000003</v>
      </c>
      <c r="D17" s="34">
        <v>0.1</v>
      </c>
      <c r="E17" s="32">
        <f t="shared" si="0"/>
        <v>5.4675000000000011</v>
      </c>
      <c r="F17" s="32">
        <f t="shared" si="1"/>
        <v>41.917500000000004</v>
      </c>
      <c r="G17" s="21">
        <v>2</v>
      </c>
      <c r="H17" s="32">
        <f t="shared" si="2"/>
        <v>83.835000000000008</v>
      </c>
    </row>
    <row r="18" spans="2:8">
      <c r="B18" s="22" t="s">
        <v>76</v>
      </c>
      <c r="C18" s="32">
        <v>9</v>
      </c>
      <c r="D18" s="34">
        <v>0.1</v>
      </c>
      <c r="E18" s="32">
        <f t="shared" si="0"/>
        <v>1.3499999999999996</v>
      </c>
      <c r="F18" s="32">
        <f t="shared" si="1"/>
        <v>10.35</v>
      </c>
      <c r="G18" s="21">
        <v>5</v>
      </c>
      <c r="H18" s="32">
        <f t="shared" si="2"/>
        <v>51.75</v>
      </c>
    </row>
    <row r="19" spans="2:8">
      <c r="B19" s="22" t="s">
        <v>77</v>
      </c>
      <c r="C19" s="32">
        <v>12.35</v>
      </c>
      <c r="D19" s="34">
        <v>0.15</v>
      </c>
      <c r="E19" s="32">
        <f t="shared" si="0"/>
        <v>1.8525000000000009</v>
      </c>
      <c r="F19" s="32">
        <f t="shared" si="1"/>
        <v>14.202500000000001</v>
      </c>
      <c r="G19" s="21">
        <v>3</v>
      </c>
      <c r="H19" s="32">
        <f t="shared" si="2"/>
        <v>42.607500000000002</v>
      </c>
    </row>
    <row r="20" spans="2:8">
      <c r="B20" s="22" t="s">
        <v>78</v>
      </c>
      <c r="C20" s="32">
        <v>271.82</v>
      </c>
      <c r="D20" s="34">
        <v>0.1</v>
      </c>
      <c r="E20" s="32">
        <f t="shared" si="0"/>
        <v>40.772999999999968</v>
      </c>
      <c r="F20" s="32">
        <f t="shared" si="1"/>
        <v>312.59299999999996</v>
      </c>
      <c r="G20" s="21">
        <v>1</v>
      </c>
      <c r="H20" s="32">
        <f t="shared" si="2"/>
        <v>312.59299999999996</v>
      </c>
    </row>
    <row r="22" spans="2:8">
      <c r="F22" t="s">
        <v>79</v>
      </c>
      <c r="H22" s="33">
        <f>H14+H15+H16+H17+H18+H19+H20</f>
        <v>568.2494999999999</v>
      </c>
    </row>
    <row r="23" spans="2:8">
      <c r="F23" t="s">
        <v>80</v>
      </c>
      <c r="H23" s="33">
        <f>D14+D15+D16+D17+D18+D19+D20</f>
        <v>0.89999999999999991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508D-83D2-1B46-B272-DA85C349D485}">
  <dimension ref="B3:I21"/>
  <sheetViews>
    <sheetView tabSelected="1" zoomScale="251" zoomScaleNormal="251" workbookViewId="0">
      <selection activeCell="H16" sqref="H16"/>
    </sheetView>
  </sheetViews>
  <sheetFormatPr baseColWidth="10" defaultRowHeight="16"/>
  <cols>
    <col min="2" max="2" width="19.33203125" customWidth="1"/>
    <col min="3" max="3" width="13" customWidth="1"/>
    <col min="4" max="4" width="15" bestFit="1" customWidth="1"/>
    <col min="5" max="5" width="13.6640625" customWidth="1"/>
    <col min="6" max="6" width="14" bestFit="1" customWidth="1"/>
    <col min="7" max="7" width="15.33203125" customWidth="1"/>
    <col min="8" max="9" width="12.5" bestFit="1" customWidth="1"/>
  </cols>
  <sheetData>
    <row r="3" spans="2:9">
      <c r="B3" s="1" t="s">
        <v>0</v>
      </c>
    </row>
    <row r="4" spans="2:9">
      <c r="B4" t="s">
        <v>86</v>
      </c>
    </row>
    <row r="5" spans="2:9">
      <c r="B5" t="s">
        <v>83</v>
      </c>
    </row>
    <row r="6" spans="2:9">
      <c r="B6" t="s">
        <v>87</v>
      </c>
    </row>
    <row r="7" spans="2:9">
      <c r="B7" t="s">
        <v>88</v>
      </c>
    </row>
    <row r="8" spans="2:9">
      <c r="B8" t="s">
        <v>52</v>
      </c>
    </row>
    <row r="10" spans="2:9">
      <c r="G10" s="47" t="e" vm="1">
        <v>#VALUE!</v>
      </c>
      <c r="H10" t="str" cm="1">
        <f t="array" ref="H10">_FV(G10,"Ticker symbol",TRUE)</f>
        <v>USDCZK</v>
      </c>
      <c r="I10" s="48"/>
    </row>
    <row r="11" spans="2:9" ht="17">
      <c r="F11" t="s">
        <v>89</v>
      </c>
      <c r="G11" s="46" cm="1">
        <f t="array" ref="G11">_FV(G10,"Price")</f>
        <v>23.077999999999999</v>
      </c>
      <c r="H11" t="s">
        <v>90</v>
      </c>
    </row>
    <row r="13" spans="2:9">
      <c r="B13" t="s">
        <v>91</v>
      </c>
      <c r="C13" s="40" t="s">
        <v>92</v>
      </c>
      <c r="D13" s="40" t="s">
        <v>93</v>
      </c>
      <c r="E13" s="40" t="s">
        <v>94</v>
      </c>
      <c r="F13" s="40" t="s">
        <v>95</v>
      </c>
      <c r="G13" s="40" t="s">
        <v>96</v>
      </c>
      <c r="H13" s="40" t="s">
        <v>97</v>
      </c>
      <c r="I13" s="40" t="s">
        <v>98</v>
      </c>
    </row>
    <row r="14" spans="2:9">
      <c r="B14" t="s">
        <v>99</v>
      </c>
      <c r="C14" s="40">
        <v>86</v>
      </c>
      <c r="D14" s="41">
        <f>C14*$G$11</f>
        <v>1984.7079999999999</v>
      </c>
      <c r="E14" s="42">
        <v>2399</v>
      </c>
      <c r="F14" s="41">
        <f>E14-D14</f>
        <v>414.29200000000014</v>
      </c>
      <c r="G14" s="40">
        <v>46</v>
      </c>
      <c r="H14" s="43">
        <f>E14*G14</f>
        <v>110354</v>
      </c>
      <c r="I14" s="43">
        <f>F14*G14</f>
        <v>19057.432000000008</v>
      </c>
    </row>
    <row r="15" spans="2:9">
      <c r="B15" t="s">
        <v>100</v>
      </c>
      <c r="C15" s="40">
        <v>733</v>
      </c>
      <c r="D15" s="41">
        <f t="shared" ref="D15:D19" si="0">C15*$G$11</f>
        <v>16916.173999999999</v>
      </c>
      <c r="E15" s="42">
        <v>19159</v>
      </c>
      <c r="F15" s="41">
        <f t="shared" ref="F15:F19" si="1">E15-D15</f>
        <v>2242.8260000000009</v>
      </c>
      <c r="G15" s="40">
        <v>12</v>
      </c>
      <c r="H15" s="43">
        <f t="shared" ref="H15:H19" si="2">E15*G15</f>
        <v>229908</v>
      </c>
      <c r="I15" s="43">
        <f t="shared" ref="I15:I19" si="3">F15*G15</f>
        <v>26913.912000000011</v>
      </c>
    </row>
    <row r="16" spans="2:9">
      <c r="B16" t="s">
        <v>101</v>
      </c>
      <c r="C16" s="40">
        <v>299</v>
      </c>
      <c r="D16" s="41">
        <f t="shared" si="0"/>
        <v>6900.3220000000001</v>
      </c>
      <c r="E16" s="42">
        <v>9242</v>
      </c>
      <c r="F16" s="41">
        <f t="shared" si="1"/>
        <v>2341.6779999999999</v>
      </c>
      <c r="G16" s="40">
        <v>33</v>
      </c>
      <c r="H16" s="43">
        <f t="shared" si="2"/>
        <v>304986</v>
      </c>
      <c r="I16" s="43">
        <f t="shared" si="3"/>
        <v>77275.373999999996</v>
      </c>
    </row>
    <row r="17" spans="2:9">
      <c r="B17" t="s">
        <v>102</v>
      </c>
      <c r="C17" s="40">
        <v>549</v>
      </c>
      <c r="D17" s="41">
        <f t="shared" si="0"/>
        <v>12669.822</v>
      </c>
      <c r="E17" s="42">
        <v>17990</v>
      </c>
      <c r="F17" s="41">
        <f t="shared" si="1"/>
        <v>5320.1779999999999</v>
      </c>
      <c r="G17" s="40">
        <v>5</v>
      </c>
      <c r="H17" s="43">
        <f t="shared" si="2"/>
        <v>89950</v>
      </c>
      <c r="I17" s="43">
        <f t="shared" si="3"/>
        <v>26600.89</v>
      </c>
    </row>
    <row r="18" spans="2:9">
      <c r="B18" t="s">
        <v>103</v>
      </c>
      <c r="C18" s="40">
        <v>229</v>
      </c>
      <c r="D18" s="41">
        <f t="shared" si="0"/>
        <v>5284.8620000000001</v>
      </c>
      <c r="E18" s="42">
        <v>6400</v>
      </c>
      <c r="F18" s="41">
        <f t="shared" si="1"/>
        <v>1115.1379999999999</v>
      </c>
      <c r="G18" s="40">
        <v>10</v>
      </c>
      <c r="H18" s="43">
        <f t="shared" si="2"/>
        <v>64000</v>
      </c>
      <c r="I18" s="43">
        <f t="shared" si="3"/>
        <v>11151.38</v>
      </c>
    </row>
    <row r="19" spans="2:9">
      <c r="B19" t="s">
        <v>104</v>
      </c>
      <c r="C19" s="40">
        <v>209</v>
      </c>
      <c r="D19" s="41">
        <f t="shared" si="0"/>
        <v>4823.3019999999997</v>
      </c>
      <c r="E19" s="42">
        <v>5799</v>
      </c>
      <c r="F19" s="41">
        <f t="shared" si="1"/>
        <v>975.69800000000032</v>
      </c>
      <c r="G19" s="40">
        <v>3</v>
      </c>
      <c r="H19" s="43">
        <f t="shared" si="2"/>
        <v>17397</v>
      </c>
      <c r="I19" s="43">
        <f t="shared" si="3"/>
        <v>2927.094000000001</v>
      </c>
    </row>
    <row r="20" spans="2:9">
      <c r="C20" s="40"/>
      <c r="D20" s="40"/>
      <c r="E20" s="40"/>
      <c r="F20" s="40" t="s">
        <v>105</v>
      </c>
      <c r="G20" s="44">
        <f>G14+G15+G16+G17+G18+G19</f>
        <v>109</v>
      </c>
      <c r="H20" s="45">
        <f>H14+H15+H16+H17+H18+H19</f>
        <v>816595</v>
      </c>
      <c r="I20" s="45">
        <f>I14+I15+I16+I17+I18+I19</f>
        <v>163926.08200000002</v>
      </c>
    </row>
    <row r="21" spans="2:9">
      <c r="C21" s="40"/>
      <c r="D21" s="40"/>
      <c r="E21" s="40"/>
      <c r="F21" s="40"/>
      <c r="G21" s="40"/>
      <c r="H21" s="40"/>
      <c r="I21" s="4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Jednoduché vzorce</vt:lpstr>
      <vt:lpstr>Exkurze</vt:lpstr>
      <vt:lpstr>Spotřeba</vt:lpstr>
      <vt:lpstr>Kniha jízd</vt:lpstr>
      <vt:lpstr>Srdce</vt:lpstr>
      <vt:lpstr>Nákup</vt:lpstr>
      <vt:lpstr>Telefony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Hanuš Valenta</cp:lastModifiedBy>
  <dcterms:created xsi:type="dcterms:W3CDTF">2023-04-05T07:07:10Z</dcterms:created>
  <dcterms:modified xsi:type="dcterms:W3CDTF">2024-03-18T09:59:18Z</dcterms:modified>
</cp:coreProperties>
</file>