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9040" windowHeight="15840" tabRatio="752" activeTab="2"/>
  </bookViews>
  <sheets>
    <sheet name="编制说明及审核公式" sheetId="14" r:id="rId1"/>
    <sheet name="目录" sheetId="22" r:id="rId2"/>
    <sheet name="1 资产负债表" sheetId="1" r:id="rId3"/>
    <sheet name="2 利润表" sheetId="7" r:id="rId4"/>
    <sheet name="3 现金流量表" sheetId="9" r:id="rId5"/>
    <sheet name="4 管理利润表" sheetId="18" r:id="rId6"/>
    <sheet name="5 开发成本表" sheetId="15" r:id="rId7"/>
    <sheet name="6 总体费用" sheetId="25" r:id="rId8"/>
    <sheet name="7 融资表" sheetId="19" r:id="rId9"/>
    <sheet name="8 税费表" sheetId="23" r:id="rId10"/>
    <sheet name="9.1 关联方交易" sheetId="13" r:id="rId11"/>
    <sheet name="9.2 关联方往来" sheetId="12" r:id="rId12"/>
    <sheet name="9.3 关联方现金流" sheetId="11" r:id="rId13"/>
    <sheet name="10 其他事项" sheetId="3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_________xlfn.COUNTIFS" hidden="1">#NAME?</definedName>
    <definedName name="__________xlfn.COUNTIFS" hidden="1">#NAME?</definedName>
    <definedName name="_________xlfn.COUNTIFS" hidden="1">#NAME?</definedName>
    <definedName name="________xlfn.COUNTIFS" hidden="1">#NAME?</definedName>
    <definedName name="_______xlfn.COUNTIFS" hidden="1">#NAME?</definedName>
    <definedName name="______xlfn.COUNTIFS" hidden="1">#NAME?</definedName>
    <definedName name="_____xlfn.COUNTIFS" hidden="1">#NAME?</definedName>
    <definedName name="____xlfn.COUNTIFS" hidden="1">#NAME?</definedName>
    <definedName name="___xlfn.COUNTIFS" hidden="1">#NAME?</definedName>
    <definedName name="__xlfn.COUNTIFS" hidden="1">#NAME?</definedName>
    <definedName name="_xlnm._FilterDatabase" localSheetId="7" hidden="1">'[1]23'!#REF!</definedName>
    <definedName name="_xlnm._FilterDatabase" hidden="1">'[1]23'!#REF!</definedName>
    <definedName name="_Key1" localSheetId="7" hidden="1">'[2]57A'!#REF!</definedName>
    <definedName name="_Key1" hidden="1">'[2]57A'!#REF!</definedName>
    <definedName name="_Order1" hidden="1">255</definedName>
    <definedName name="_Order2" hidden="1">255</definedName>
    <definedName name="_Sort" localSheetId="7" hidden="1">'[2]57A'!#REF!</definedName>
    <definedName name="_Sort" hidden="1">'[2]57A'!#REF!</definedName>
    <definedName name="A">'[3]14.预收帐款'!$C$7:$F$9</definedName>
    <definedName name="AS2DocOpenMode" hidden="1">"AS2DocumentEdit"</definedName>
    <definedName name="AS2NamedRange" hidden="1">15</definedName>
    <definedName name="AS2ReportLS" hidden="1">2</definedName>
    <definedName name="AS2SyncStepLS" hidden="1">3</definedName>
    <definedName name="AS2VersionLS" hidden="1">220</definedName>
    <definedName name="asdflkjasd" hidden="1">{#N/A,#N/A,FALSE,"Aging Summary";#N/A,#N/A,FALSE,"Ratio Analysis";#N/A,#N/A,FALSE,"Test 120 Day Accts";#N/A,#N/A,FALSE,"Tickmarks"}</definedName>
    <definedName name="bd">"1/1/2004"</definedName>
    <definedName name="bdc">"2004年1月1日"</definedName>
    <definedName name="d">"31/10/2004"</definedName>
    <definedName name="dc">"2004年10月31日"</definedName>
    <definedName name="dss" localSheetId="7" hidden="1">'[1]23'!#REF!</definedName>
    <definedName name="dss" hidden="1">'[1]23'!#REF!</definedName>
    <definedName name="er." hidden="1">{#N/A,#N/A,FALSE,"资产负债表";#N/A,#N/A,FALSE,"资产负债表"}</definedName>
    <definedName name="lye">"31/12/"&amp;LEFT(dc,4)-1</definedName>
    <definedName name="p">bd&amp;"-"&amp;d</definedName>
    <definedName name="_xlnm.Print_Area" localSheetId="2">'1 资产负债表'!$A$1:$C$76</definedName>
    <definedName name="_xlnm.Print_Area" localSheetId="3">'2 利润表'!$A$1:$Q$58</definedName>
    <definedName name="_xlnm.Print_Area" localSheetId="4">'3 现金流量表'!$A$1:$Q$60</definedName>
    <definedName name="_xlnm.Print_Area" localSheetId="5">'4 管理利润表'!$A$1:$AG$37</definedName>
    <definedName name="_xlnm.Print_Area" localSheetId="6">'5 开发成本表'!$A$1:$BI$55</definedName>
    <definedName name="_xlnm.Print_Area" localSheetId="7">'6 总体费用'!$A$1:$BV$56</definedName>
    <definedName name="_xlnm.Print_Area" localSheetId="8">'7 融资表'!$A$1:$V$19</definedName>
    <definedName name="_xlnm.Print_Area" localSheetId="9">'8 税费表'!$A$1:$R$33</definedName>
    <definedName name="_xlnm.Print_Area" localSheetId="0">编制说明及审核公式!$A$1:$E$118</definedName>
    <definedName name="_xlnm.Print_Area" hidden="1">#N/A</definedName>
    <definedName name="_xlnm.Print_Titles" localSheetId="2">'1 资产负债表'!$1:$5</definedName>
    <definedName name="_xlnm.Print_Titles" localSheetId="5">'4 管理利润表'!$A:$E</definedName>
    <definedName name="_xlnm.Print_Titles" localSheetId="6">'5 开发成本表'!$A:$A</definedName>
    <definedName name="_xlnm.Print_Titles" hidden="1">#N/A</definedName>
    <definedName name="rehtrhtrhtr" hidden="1">{#N/A,#N/A,FALSE,"Aging Summary";#N/A,#N/A,FALSE,"Ratio Analysis";#N/A,#N/A,FALSE,"Test 120 Day Accts";#N/A,#N/A,FALSE,"Tickmarks"}</definedName>
    <definedName name="SAPBEXrevision" hidden="1">4</definedName>
    <definedName name="SAPBEXsysID" hidden="1">"BW1"</definedName>
    <definedName name="SAPBEXwbID" hidden="1">"8DZFG4M4NA6MVVGNLO7J4SRAY"</definedName>
    <definedName name="sgfrfsgfrg" hidden="1">{#N/A,#N/A,FALSE,"Aging Summary";#N/A,#N/A,FALSE,"Ratio Analysis";#N/A,#N/A,FALSE,"Test 120 Day Accts";#N/A,#N/A,FALSE,"Tickmarks"}</definedName>
    <definedName name="T">[4]封面!$B$4:$B$7</definedName>
    <definedName name="TextRefCopyRangeCount" hidden="1">92</definedName>
    <definedName name="wrn.Aging._.and._.Trend._.Analysis." hidden="1">{#N/A,#N/A,FALSE,"Aging Summary";#N/A,#N/A,FALSE,"Ratio Analysis";#N/A,#N/A,FALSE,"Test 120 Day Accts";#N/A,#N/A,FALSE,"Tickmarks"}</definedName>
    <definedName name="wrn.gb." hidden="1">{#N/A,#N/A,FALSE,"资产负债表";#N/A,#N/A,FALSE,"资产负债表"}</definedName>
    <definedName name="Yes_no">'[5]Name list'!$C$2:$C$3</definedName>
    <definedName name="本循环科目" hidden="1">[6]索引!$D$15:$D$76</definedName>
    <definedName name="关键岗位" hidden="1">{#N/A,#N/A,FALSE,"Aging Summary";#N/A,#N/A,FALSE,"Ratio Analysis";#N/A,#N/A,FALSE,"Test 120 Day Accts";#N/A,#N/A,FALSE,"Tickmarks"}</definedName>
    <definedName name="好" hidden="1">{#N/A,#N/A,FALSE,"Aging Summary";#N/A,#N/A,FALSE,"Ratio Analysis";#N/A,#N/A,FALSE,"Test 120 Day Accts";#N/A,#N/A,FALSE,"Tickmarks"}</definedName>
    <definedName name="融资类别">[7]Sheet9!$G$3:$G$4</definedName>
    <definedName name="融资类型">[7]Sheet9!$H$3:$H$12</definedName>
    <definedName name="投资类别">[7]Sheet9!$B$3:$B$6</definedName>
    <definedName name="香醍" hidden="1">{#N/A,#N/A,FALSE,"Aging Summary";#N/A,#N/A,FALSE,"Ratio Analysis";#N/A,#N/A,FALSE,"Test 120 Day Accts";#N/A,#N/A,FALSE,"Tickmarks"}</definedName>
    <definedName name="指标取得" hidden="1">{#N/A,#N/A,FALSE,"资产负债表";#N/A,#N/A,FALSE,"资产负债表"}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1" l="1"/>
  <c r="R8" i="12"/>
  <c r="J50" i="15" l="1"/>
  <c r="J31" i="15"/>
  <c r="J22" i="15"/>
  <c r="J44" i="15"/>
  <c r="J47" i="15"/>
  <c r="J46" i="15"/>
  <c r="BJ22" i="25" l="1"/>
  <c r="AU8" i="25" l="1"/>
  <c r="Q7" i="11" l="1"/>
  <c r="AP8" i="25" l="1"/>
  <c r="S7" i="19" l="1"/>
  <c r="AF8" i="25" l="1"/>
  <c r="AA8" i="25" l="1"/>
  <c r="F19" i="9" l="1"/>
  <c r="N7" i="19" l="1"/>
  <c r="K44" i="15" l="1"/>
  <c r="M44" i="15" s="1"/>
  <c r="K17" i="15"/>
  <c r="A3" i="30"/>
  <c r="A2" i="30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A3" i="11"/>
  <c r="A2" i="11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A3" i="12"/>
  <c r="A2" i="12"/>
  <c r="H6" i="13"/>
  <c r="G6" i="13"/>
  <c r="A3" i="13"/>
  <c r="A2" i="13"/>
  <c r="L38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C36" i="23"/>
  <c r="E31" i="23"/>
  <c r="R31" i="23" s="1"/>
  <c r="S31" i="23" s="1"/>
  <c r="Q30" i="23"/>
  <c r="P30" i="23"/>
  <c r="O30" i="23"/>
  <c r="N30" i="23"/>
  <c r="M30" i="23"/>
  <c r="L30" i="23"/>
  <c r="K30" i="23"/>
  <c r="J30" i="23"/>
  <c r="I30" i="23"/>
  <c r="H30" i="23"/>
  <c r="G30" i="23"/>
  <c r="F30" i="23"/>
  <c r="C30" i="23"/>
  <c r="Q28" i="23"/>
  <c r="Q38" i="23" s="1"/>
  <c r="P28" i="23"/>
  <c r="P38" i="23" s="1"/>
  <c r="O28" i="23"/>
  <c r="O38" i="23" s="1"/>
  <c r="N28" i="23"/>
  <c r="N38" i="23" s="1"/>
  <c r="M28" i="23"/>
  <c r="M38" i="23" s="1"/>
  <c r="L28" i="23"/>
  <c r="K28" i="23"/>
  <c r="K38" i="23" s="1"/>
  <c r="J28" i="23"/>
  <c r="J38" i="23" s="1"/>
  <c r="I28" i="23"/>
  <c r="I38" i="23" s="1"/>
  <c r="H28" i="23"/>
  <c r="H38" i="23" s="1"/>
  <c r="G28" i="23"/>
  <c r="G38" i="23" s="1"/>
  <c r="F28" i="23"/>
  <c r="F38" i="23" s="1"/>
  <c r="C28" i="23"/>
  <c r="C38" i="23" s="1"/>
  <c r="E27" i="23"/>
  <c r="R27" i="23" s="1"/>
  <c r="S27" i="23" s="1"/>
  <c r="E26" i="23"/>
  <c r="R26" i="23" s="1"/>
  <c r="S26" i="23" s="1"/>
  <c r="E25" i="23"/>
  <c r="T25" i="23" s="1"/>
  <c r="E24" i="23"/>
  <c r="R24" i="23" s="1"/>
  <c r="S24" i="23" s="1"/>
  <c r="Q23" i="23"/>
  <c r="P23" i="23"/>
  <c r="O23" i="23"/>
  <c r="N23" i="23"/>
  <c r="M23" i="23"/>
  <c r="L23" i="23"/>
  <c r="K23" i="23"/>
  <c r="J23" i="23"/>
  <c r="I23" i="23"/>
  <c r="H23" i="23"/>
  <c r="G23" i="23"/>
  <c r="F23" i="23"/>
  <c r="C23" i="23"/>
  <c r="Q22" i="23"/>
  <c r="Q37" i="23" s="1"/>
  <c r="P22" i="23"/>
  <c r="P29" i="23" s="1"/>
  <c r="P39" i="23" s="1"/>
  <c r="O22" i="23"/>
  <c r="N22" i="23"/>
  <c r="N37" i="23" s="1"/>
  <c r="M22" i="23"/>
  <c r="L22" i="23"/>
  <c r="L32" i="23" s="1"/>
  <c r="K22" i="23"/>
  <c r="K37" i="23" s="1"/>
  <c r="J22" i="23"/>
  <c r="I22" i="23"/>
  <c r="H22" i="23"/>
  <c r="H37" i="23" s="1"/>
  <c r="G22" i="23"/>
  <c r="F22" i="23"/>
  <c r="C22" i="23"/>
  <c r="C37" i="23" s="1"/>
  <c r="E21" i="23"/>
  <c r="R21" i="23" s="1"/>
  <c r="S21" i="23" s="1"/>
  <c r="E20" i="23"/>
  <c r="R20" i="23" s="1"/>
  <c r="S20" i="23" s="1"/>
  <c r="E19" i="23"/>
  <c r="T19" i="23" s="1"/>
  <c r="E18" i="23"/>
  <c r="R18" i="23" s="1"/>
  <c r="S18" i="23" s="1"/>
  <c r="E17" i="23"/>
  <c r="R17" i="23" s="1"/>
  <c r="S17" i="23" s="1"/>
  <c r="E16" i="23"/>
  <c r="T16" i="23" s="1"/>
  <c r="E15" i="23"/>
  <c r="R15" i="23" s="1"/>
  <c r="S15" i="23" s="1"/>
  <c r="E14" i="23"/>
  <c r="R14" i="23" s="1"/>
  <c r="S14" i="23" s="1"/>
  <c r="E13" i="23"/>
  <c r="T13" i="23" s="1"/>
  <c r="E12" i="23"/>
  <c r="R12" i="23" s="1"/>
  <c r="S12" i="23" s="1"/>
  <c r="E11" i="23"/>
  <c r="R11" i="23" s="1"/>
  <c r="S11" i="23" s="1"/>
  <c r="E10" i="23"/>
  <c r="T10" i="23" s="1"/>
  <c r="E9" i="23"/>
  <c r="R9" i="23" s="1"/>
  <c r="S9" i="23" s="1"/>
  <c r="E8" i="23"/>
  <c r="R8" i="23" s="1"/>
  <c r="S8" i="23" s="1"/>
  <c r="E7" i="23"/>
  <c r="T7" i="23" s="1"/>
  <c r="E6" i="23"/>
  <c r="R6" i="23" s="1"/>
  <c r="A3" i="23"/>
  <c r="A2" i="23"/>
  <c r="V16" i="19"/>
  <c r="X16" i="19" s="1"/>
  <c r="N16" i="19"/>
  <c r="K16" i="19"/>
  <c r="W16" i="19" s="1"/>
  <c r="V15" i="19"/>
  <c r="X15" i="19" s="1"/>
  <c r="N15" i="19"/>
  <c r="K15" i="19"/>
  <c r="W15" i="19" s="1"/>
  <c r="V14" i="19"/>
  <c r="X14" i="19" s="1"/>
  <c r="N14" i="19"/>
  <c r="K14" i="19"/>
  <c r="W14" i="19" s="1"/>
  <c r="V13" i="19"/>
  <c r="X13" i="19" s="1"/>
  <c r="N13" i="19"/>
  <c r="K13" i="19"/>
  <c r="W13" i="19" s="1"/>
  <c r="X12" i="19"/>
  <c r="V12" i="19"/>
  <c r="N12" i="19"/>
  <c r="K12" i="19"/>
  <c r="W12" i="19" s="1"/>
  <c r="X11" i="19"/>
  <c r="V11" i="19"/>
  <c r="N11" i="19"/>
  <c r="K11" i="19"/>
  <c r="W11" i="19" s="1"/>
  <c r="V10" i="19"/>
  <c r="X10" i="19" s="1"/>
  <c r="N10" i="19"/>
  <c r="K10" i="19"/>
  <c r="W10" i="19" s="1"/>
  <c r="V9" i="19"/>
  <c r="X9" i="19" s="1"/>
  <c r="N9" i="19"/>
  <c r="K9" i="19"/>
  <c r="W9" i="19" s="1"/>
  <c r="V8" i="19"/>
  <c r="X8" i="19" s="1"/>
  <c r="N8" i="19"/>
  <c r="K8" i="19"/>
  <c r="V7" i="19"/>
  <c r="K7" i="19"/>
  <c r="W7" i="19" s="1"/>
  <c r="U6" i="19"/>
  <c r="T6" i="19"/>
  <c r="S6" i="19"/>
  <c r="R6" i="19"/>
  <c r="Q6" i="19"/>
  <c r="P6" i="19"/>
  <c r="O6" i="19"/>
  <c r="M6" i="19"/>
  <c r="L6" i="19"/>
  <c r="J6" i="19"/>
  <c r="F6" i="19"/>
  <c r="A3" i="19"/>
  <c r="A2" i="19"/>
  <c r="C62" i="25"/>
  <c r="C61" i="25"/>
  <c r="C60" i="25"/>
  <c r="C59" i="25"/>
  <c r="C56" i="25"/>
  <c r="C63" i="25" s="1"/>
  <c r="BR55" i="25"/>
  <c r="BM55" i="25"/>
  <c r="BH55" i="25"/>
  <c r="BC55" i="25"/>
  <c r="AX55" i="25"/>
  <c r="AS55" i="25"/>
  <c r="AN55" i="25"/>
  <c r="AI55" i="25"/>
  <c r="AD55" i="25"/>
  <c r="Y55" i="25"/>
  <c r="T55" i="25"/>
  <c r="O55" i="25"/>
  <c r="N55" i="25"/>
  <c r="M55" i="25"/>
  <c r="L55" i="25"/>
  <c r="K55" i="25"/>
  <c r="BR54" i="25"/>
  <c r="BM54" i="25"/>
  <c r="BH54" i="25"/>
  <c r="BC54" i="25"/>
  <c r="AX54" i="25"/>
  <c r="AS54" i="25"/>
  <c r="AN54" i="25"/>
  <c r="AI54" i="25"/>
  <c r="AD54" i="25"/>
  <c r="Y54" i="25"/>
  <c r="T54" i="25"/>
  <c r="O54" i="25"/>
  <c r="N54" i="25"/>
  <c r="M54" i="25"/>
  <c r="L54" i="25"/>
  <c r="K54" i="25"/>
  <c r="BR53" i="25"/>
  <c r="BM53" i="25"/>
  <c r="BH53" i="25"/>
  <c r="BC53" i="25"/>
  <c r="AX53" i="25"/>
  <c r="AS53" i="25"/>
  <c r="AN53" i="25"/>
  <c r="AI53" i="25"/>
  <c r="AD53" i="25"/>
  <c r="Y53" i="25"/>
  <c r="T53" i="25"/>
  <c r="O53" i="25"/>
  <c r="N53" i="25"/>
  <c r="M53" i="25"/>
  <c r="L53" i="25"/>
  <c r="K53" i="25"/>
  <c r="BR52" i="25"/>
  <c r="BM52" i="25"/>
  <c r="BH52" i="25"/>
  <c r="BC52" i="25"/>
  <c r="AX52" i="25"/>
  <c r="AS52" i="25"/>
  <c r="AN52" i="25"/>
  <c r="AI52" i="25"/>
  <c r="AD52" i="25"/>
  <c r="Y52" i="25"/>
  <c r="T52" i="25"/>
  <c r="O52" i="25"/>
  <c r="N52" i="25"/>
  <c r="M52" i="25"/>
  <c r="L52" i="25"/>
  <c r="K52" i="25"/>
  <c r="BR51" i="25"/>
  <c r="BM51" i="25"/>
  <c r="BH51" i="25"/>
  <c r="BC51" i="25"/>
  <c r="AX51" i="25"/>
  <c r="AS51" i="25"/>
  <c r="AN51" i="25"/>
  <c r="AI51" i="25"/>
  <c r="AD51" i="25"/>
  <c r="Y51" i="25"/>
  <c r="T51" i="25"/>
  <c r="O51" i="25"/>
  <c r="N51" i="25"/>
  <c r="M51" i="25"/>
  <c r="L51" i="25"/>
  <c r="K51" i="25"/>
  <c r="BV50" i="25"/>
  <c r="BV62" i="25" s="1"/>
  <c r="BU50" i="25"/>
  <c r="BU62" i="25" s="1"/>
  <c r="BT50" i="25"/>
  <c r="BT62" i="25" s="1"/>
  <c r="BS50" i="25"/>
  <c r="BS62" i="25" s="1"/>
  <c r="BQ50" i="25"/>
  <c r="BQ62" i="25" s="1"/>
  <c r="BP50" i="25"/>
  <c r="BP62" i="25" s="1"/>
  <c r="BO50" i="25"/>
  <c r="BN50" i="25"/>
  <c r="BN62" i="25" s="1"/>
  <c r="BL50" i="25"/>
  <c r="BL62" i="25" s="1"/>
  <c r="BK50" i="25"/>
  <c r="BK62" i="25" s="1"/>
  <c r="BJ50" i="25"/>
  <c r="BJ62" i="25" s="1"/>
  <c r="BI50" i="25"/>
  <c r="BG50" i="25"/>
  <c r="BG62" i="25" s="1"/>
  <c r="BF50" i="25"/>
  <c r="BF62" i="25" s="1"/>
  <c r="BE50" i="25"/>
  <c r="BE62" i="25" s="1"/>
  <c r="BD50" i="25"/>
  <c r="BD62" i="25" s="1"/>
  <c r="BB50" i="25"/>
  <c r="BB62" i="25" s="1"/>
  <c r="BA50" i="25"/>
  <c r="BA62" i="25" s="1"/>
  <c r="AZ50" i="25"/>
  <c r="AZ62" i="25" s="1"/>
  <c r="AY50" i="25"/>
  <c r="AY62" i="25" s="1"/>
  <c r="AW50" i="25"/>
  <c r="AW62" i="25" s="1"/>
  <c r="AV50" i="25"/>
  <c r="AV62" i="25" s="1"/>
  <c r="AU50" i="25"/>
  <c r="AU62" i="25" s="1"/>
  <c r="AT50" i="25"/>
  <c r="AT62" i="25" s="1"/>
  <c r="AR50" i="25"/>
  <c r="AR62" i="25" s="1"/>
  <c r="AQ50" i="25"/>
  <c r="AQ62" i="25" s="1"/>
  <c r="AP50" i="25"/>
  <c r="AP62" i="25" s="1"/>
  <c r="AO50" i="25"/>
  <c r="AM50" i="25"/>
  <c r="AM62" i="25" s="1"/>
  <c r="AL50" i="25"/>
  <c r="AL62" i="25" s="1"/>
  <c r="AK50" i="25"/>
  <c r="AJ50" i="25"/>
  <c r="AJ62" i="25" s="1"/>
  <c r="AH50" i="25"/>
  <c r="AH62" i="25" s="1"/>
  <c r="AG50" i="25"/>
  <c r="AG62" i="25" s="1"/>
  <c r="AF50" i="25"/>
  <c r="AF62" i="25" s="1"/>
  <c r="AE50" i="25"/>
  <c r="AC50" i="25"/>
  <c r="AC62" i="25" s="1"/>
  <c r="AB50" i="25"/>
  <c r="AB62" i="25" s="1"/>
  <c r="AA50" i="25"/>
  <c r="AA62" i="25" s="1"/>
  <c r="Z50" i="25"/>
  <c r="Z62" i="25" s="1"/>
  <c r="X50" i="25"/>
  <c r="X62" i="25" s="1"/>
  <c r="W50" i="25"/>
  <c r="W62" i="25" s="1"/>
  <c r="V50" i="25"/>
  <c r="V62" i="25" s="1"/>
  <c r="U50" i="25"/>
  <c r="U62" i="25" s="1"/>
  <c r="S50" i="25"/>
  <c r="R50" i="25"/>
  <c r="R62" i="25" s="1"/>
  <c r="Q50" i="25"/>
  <c r="Q62" i="25" s="1"/>
  <c r="P50" i="25"/>
  <c r="P62" i="25" s="1"/>
  <c r="BR49" i="25"/>
  <c r="BM49" i="25"/>
  <c r="BH49" i="25"/>
  <c r="BC49" i="25"/>
  <c r="AX49" i="25"/>
  <c r="AS49" i="25"/>
  <c r="AN49" i="25"/>
  <c r="AI49" i="25"/>
  <c r="AD49" i="25"/>
  <c r="Y49" i="25"/>
  <c r="T49" i="25"/>
  <c r="O49" i="25"/>
  <c r="N49" i="25"/>
  <c r="M49" i="25"/>
  <c r="L49" i="25"/>
  <c r="K49" i="25"/>
  <c r="BR48" i="25"/>
  <c r="BM48" i="25"/>
  <c r="BH48" i="25"/>
  <c r="BC48" i="25"/>
  <c r="AX48" i="25"/>
  <c r="AS48" i="25"/>
  <c r="AN48" i="25"/>
  <c r="AI48" i="25"/>
  <c r="AD48" i="25"/>
  <c r="Y48" i="25"/>
  <c r="T48" i="25"/>
  <c r="O48" i="25"/>
  <c r="N48" i="25"/>
  <c r="M48" i="25"/>
  <c r="L48" i="25"/>
  <c r="K48" i="25"/>
  <c r="BR47" i="25"/>
  <c r="BM47" i="25"/>
  <c r="BH47" i="25"/>
  <c r="BC47" i="25"/>
  <c r="AX47" i="25"/>
  <c r="AS47" i="25"/>
  <c r="AN47" i="25"/>
  <c r="AI47" i="25"/>
  <c r="AD47" i="25"/>
  <c r="Y47" i="25"/>
  <c r="T47" i="25"/>
  <c r="O47" i="25"/>
  <c r="N47" i="25"/>
  <c r="M47" i="25"/>
  <c r="L47" i="25"/>
  <c r="K47" i="25"/>
  <c r="BV46" i="25"/>
  <c r="BV61" i="25" s="1"/>
  <c r="BU46" i="25"/>
  <c r="BU61" i="25" s="1"/>
  <c r="BT46" i="25"/>
  <c r="BT61" i="25" s="1"/>
  <c r="BS46" i="25"/>
  <c r="BS61" i="25" s="1"/>
  <c r="BQ46" i="25"/>
  <c r="BQ61" i="25" s="1"/>
  <c r="BP46" i="25"/>
  <c r="BP61" i="25" s="1"/>
  <c r="BO46" i="25"/>
  <c r="BO61" i="25" s="1"/>
  <c r="BN46" i="25"/>
  <c r="BN61" i="25" s="1"/>
  <c r="BL46" i="25"/>
  <c r="BL61" i="25" s="1"/>
  <c r="BK46" i="25"/>
  <c r="BK61" i="25" s="1"/>
  <c r="BJ46" i="25"/>
  <c r="BJ61" i="25" s="1"/>
  <c r="BI46" i="25"/>
  <c r="BI61" i="25" s="1"/>
  <c r="BG46" i="25"/>
  <c r="BG61" i="25" s="1"/>
  <c r="BF46" i="25"/>
  <c r="BF61" i="25" s="1"/>
  <c r="BE46" i="25"/>
  <c r="BD46" i="25"/>
  <c r="BD61" i="25" s="1"/>
  <c r="BB46" i="25"/>
  <c r="BB61" i="25" s="1"/>
  <c r="BA46" i="25"/>
  <c r="BA61" i="25" s="1"/>
  <c r="AZ46" i="25"/>
  <c r="AZ61" i="25" s="1"/>
  <c r="AY46" i="25"/>
  <c r="AW46" i="25"/>
  <c r="AW61" i="25" s="1"/>
  <c r="AV46" i="25"/>
  <c r="AV61" i="25" s="1"/>
  <c r="AU46" i="25"/>
  <c r="AU61" i="25" s="1"/>
  <c r="AT46" i="25"/>
  <c r="AT61" i="25" s="1"/>
  <c r="AR46" i="25"/>
  <c r="AR61" i="25" s="1"/>
  <c r="AQ46" i="25"/>
  <c r="AQ61" i="25" s="1"/>
  <c r="AP46" i="25"/>
  <c r="AP61" i="25" s="1"/>
  <c r="AO46" i="25"/>
  <c r="AO61" i="25" s="1"/>
  <c r="AM46" i="25"/>
  <c r="AM61" i="25" s="1"/>
  <c r="AL46" i="25"/>
  <c r="AL61" i="25" s="1"/>
  <c r="AK46" i="25"/>
  <c r="AK61" i="25" s="1"/>
  <c r="AJ46" i="25"/>
  <c r="AJ61" i="25" s="1"/>
  <c r="AH46" i="25"/>
  <c r="AH61" i="25" s="1"/>
  <c r="AG46" i="25"/>
  <c r="AF46" i="25"/>
  <c r="AF61" i="25" s="1"/>
  <c r="AE46" i="25"/>
  <c r="AE61" i="25" s="1"/>
  <c r="AC46" i="25"/>
  <c r="AC61" i="25" s="1"/>
  <c r="AB46" i="25"/>
  <c r="AB61" i="25" s="1"/>
  <c r="AA46" i="25"/>
  <c r="Z46" i="25"/>
  <c r="Z61" i="25" s="1"/>
  <c r="X46" i="25"/>
  <c r="X61" i="25" s="1"/>
  <c r="W46" i="25"/>
  <c r="W61" i="25" s="1"/>
  <c r="V46" i="25"/>
  <c r="V61" i="25" s="1"/>
  <c r="U46" i="25"/>
  <c r="S46" i="25"/>
  <c r="S61" i="25" s="1"/>
  <c r="R46" i="25"/>
  <c r="R61" i="25" s="1"/>
  <c r="Q46" i="25"/>
  <c r="Q61" i="25" s="1"/>
  <c r="P46" i="25"/>
  <c r="P61" i="25" s="1"/>
  <c r="BR45" i="25"/>
  <c r="BM45" i="25"/>
  <c r="BH45" i="25"/>
  <c r="BC45" i="25"/>
  <c r="AX45" i="25"/>
  <c r="AS45" i="25"/>
  <c r="AN45" i="25"/>
  <c r="AI45" i="25"/>
  <c r="AD45" i="25"/>
  <c r="Y45" i="25"/>
  <c r="T45" i="25"/>
  <c r="O45" i="25"/>
  <c r="N45" i="25"/>
  <c r="M45" i="25"/>
  <c r="L45" i="25"/>
  <c r="K45" i="25"/>
  <c r="BR44" i="25"/>
  <c r="BM44" i="25"/>
  <c r="BH44" i="25"/>
  <c r="BC44" i="25"/>
  <c r="AX44" i="25"/>
  <c r="AS44" i="25"/>
  <c r="AN44" i="25"/>
  <c r="AI44" i="25"/>
  <c r="AD44" i="25"/>
  <c r="Y44" i="25"/>
  <c r="T44" i="25"/>
  <c r="O44" i="25"/>
  <c r="N44" i="25"/>
  <c r="M44" i="25"/>
  <c r="L44" i="25"/>
  <c r="K44" i="25"/>
  <c r="BR43" i="25"/>
  <c r="BM43" i="25"/>
  <c r="BH43" i="25"/>
  <c r="BC43" i="25"/>
  <c r="AX43" i="25"/>
  <c r="AS43" i="25"/>
  <c r="AN43" i="25"/>
  <c r="AI43" i="25"/>
  <c r="AD43" i="25"/>
  <c r="Y43" i="25"/>
  <c r="T43" i="25"/>
  <c r="O43" i="25"/>
  <c r="N43" i="25"/>
  <c r="M43" i="25"/>
  <c r="L43" i="25"/>
  <c r="K43" i="25"/>
  <c r="BR42" i="25"/>
  <c r="BM42" i="25"/>
  <c r="BH42" i="25"/>
  <c r="BC42" i="25"/>
  <c r="AX42" i="25"/>
  <c r="AS42" i="25"/>
  <c r="AN42" i="25"/>
  <c r="AI42" i="25"/>
  <c r="AD42" i="25"/>
  <c r="Y42" i="25"/>
  <c r="T42" i="25"/>
  <c r="O42" i="25"/>
  <c r="N42" i="25"/>
  <c r="M42" i="25"/>
  <c r="L42" i="25"/>
  <c r="K42" i="25"/>
  <c r="BR41" i="25"/>
  <c r="BM41" i="25"/>
  <c r="BH41" i="25"/>
  <c r="BC41" i="25"/>
  <c r="AX41" i="25"/>
  <c r="AS41" i="25"/>
  <c r="AN41" i="25"/>
  <c r="AI41" i="25"/>
  <c r="AD41" i="25"/>
  <c r="Y41" i="25"/>
  <c r="T41" i="25"/>
  <c r="O41" i="25"/>
  <c r="N41" i="25"/>
  <c r="M41" i="25"/>
  <c r="L41" i="25"/>
  <c r="K41" i="25"/>
  <c r="BR40" i="25"/>
  <c r="BM40" i="25"/>
  <c r="BH40" i="25"/>
  <c r="BC40" i="25"/>
  <c r="AX40" i="25"/>
  <c r="AS40" i="25"/>
  <c r="AN40" i="25"/>
  <c r="AI40" i="25"/>
  <c r="AD40" i="25"/>
  <c r="Y40" i="25"/>
  <c r="T40" i="25"/>
  <c r="O40" i="25"/>
  <c r="N40" i="25"/>
  <c r="M40" i="25"/>
  <c r="L40" i="25"/>
  <c r="K40" i="25"/>
  <c r="BR39" i="25"/>
  <c r="BM39" i="25"/>
  <c r="BH39" i="25"/>
  <c r="BC39" i="25"/>
  <c r="AX39" i="25"/>
  <c r="AS39" i="25"/>
  <c r="AN39" i="25"/>
  <c r="AI39" i="25"/>
  <c r="AD39" i="25"/>
  <c r="Y39" i="25"/>
  <c r="T39" i="25"/>
  <c r="O39" i="25"/>
  <c r="N39" i="25"/>
  <c r="M39" i="25"/>
  <c r="L39" i="25"/>
  <c r="K39" i="25"/>
  <c r="BR38" i="25"/>
  <c r="BM38" i="25"/>
  <c r="BH38" i="25"/>
  <c r="BC38" i="25"/>
  <c r="AX38" i="25"/>
  <c r="AS38" i="25"/>
  <c r="AN38" i="25"/>
  <c r="AI38" i="25"/>
  <c r="AD38" i="25"/>
  <c r="Y38" i="25"/>
  <c r="T38" i="25"/>
  <c r="O38" i="25"/>
  <c r="N38" i="25"/>
  <c r="M38" i="25"/>
  <c r="L38" i="25"/>
  <c r="K38" i="25"/>
  <c r="BR37" i="25"/>
  <c r="BM37" i="25"/>
  <c r="BH37" i="25"/>
  <c r="BC37" i="25"/>
  <c r="AX37" i="25"/>
  <c r="AS37" i="25"/>
  <c r="AN37" i="25"/>
  <c r="AI37" i="25"/>
  <c r="AD37" i="25"/>
  <c r="Y37" i="25"/>
  <c r="T37" i="25"/>
  <c r="O37" i="25"/>
  <c r="N37" i="25"/>
  <c r="M37" i="25"/>
  <c r="L37" i="25"/>
  <c r="K37" i="25"/>
  <c r="BR36" i="25"/>
  <c r="BM36" i="25"/>
  <c r="BH36" i="25"/>
  <c r="BC36" i="25"/>
  <c r="AX36" i="25"/>
  <c r="AS36" i="25"/>
  <c r="AN36" i="25"/>
  <c r="AI36" i="25"/>
  <c r="AD36" i="25"/>
  <c r="Y36" i="25"/>
  <c r="T36" i="25"/>
  <c r="O36" i="25"/>
  <c r="N36" i="25"/>
  <c r="M36" i="25"/>
  <c r="L36" i="25"/>
  <c r="K36" i="25"/>
  <c r="BR35" i="25"/>
  <c r="BM35" i="25"/>
  <c r="BH35" i="25"/>
  <c r="BC35" i="25"/>
  <c r="AX35" i="25"/>
  <c r="AS35" i="25"/>
  <c r="AN35" i="25"/>
  <c r="AI35" i="25"/>
  <c r="AD35" i="25"/>
  <c r="Y35" i="25"/>
  <c r="T35" i="25"/>
  <c r="O35" i="25"/>
  <c r="N35" i="25"/>
  <c r="M35" i="25"/>
  <c r="L35" i="25"/>
  <c r="K35" i="25"/>
  <c r="BR34" i="25"/>
  <c r="BM34" i="25"/>
  <c r="BH34" i="25"/>
  <c r="BC34" i="25"/>
  <c r="AX34" i="25"/>
  <c r="AS34" i="25"/>
  <c r="AN34" i="25"/>
  <c r="AI34" i="25"/>
  <c r="AD34" i="25"/>
  <c r="Y34" i="25"/>
  <c r="T34" i="25"/>
  <c r="O34" i="25"/>
  <c r="N34" i="25"/>
  <c r="M34" i="25"/>
  <c r="L34" i="25"/>
  <c r="K34" i="25"/>
  <c r="BR33" i="25"/>
  <c r="BM33" i="25"/>
  <c r="BH33" i="25"/>
  <c r="BC33" i="25"/>
  <c r="AX33" i="25"/>
  <c r="AS33" i="25"/>
  <c r="AN33" i="25"/>
  <c r="AI33" i="25"/>
  <c r="AD33" i="25"/>
  <c r="Y33" i="25"/>
  <c r="T33" i="25"/>
  <c r="O33" i="25"/>
  <c r="N33" i="25"/>
  <c r="M33" i="25"/>
  <c r="L33" i="25"/>
  <c r="K33" i="25"/>
  <c r="BR32" i="25"/>
  <c r="BM32" i="25"/>
  <c r="BH32" i="25"/>
  <c r="BC32" i="25"/>
  <c r="AX32" i="25"/>
  <c r="AS32" i="25"/>
  <c r="AN32" i="25"/>
  <c r="AI32" i="25"/>
  <c r="AD32" i="25"/>
  <c r="Y32" i="25"/>
  <c r="T32" i="25"/>
  <c r="O32" i="25"/>
  <c r="N32" i="25"/>
  <c r="M32" i="25"/>
  <c r="L32" i="25"/>
  <c r="K32" i="25"/>
  <c r="BR31" i="25"/>
  <c r="BM31" i="25"/>
  <c r="BH31" i="25"/>
  <c r="BC31" i="25"/>
  <c r="AX31" i="25"/>
  <c r="AS31" i="25"/>
  <c r="AN31" i="25"/>
  <c r="AI31" i="25"/>
  <c r="AD31" i="25"/>
  <c r="Y31" i="25"/>
  <c r="T31" i="25"/>
  <c r="O31" i="25"/>
  <c r="N31" i="25"/>
  <c r="M31" i="25"/>
  <c r="L31" i="25"/>
  <c r="K31" i="25"/>
  <c r="BR30" i="25"/>
  <c r="BM30" i="25"/>
  <c r="BH30" i="25"/>
  <c r="BC30" i="25"/>
  <c r="AX30" i="25"/>
  <c r="AS30" i="25"/>
  <c r="AN30" i="25"/>
  <c r="AI30" i="25"/>
  <c r="AD30" i="25"/>
  <c r="Y30" i="25"/>
  <c r="T30" i="25"/>
  <c r="O30" i="25"/>
  <c r="N30" i="25"/>
  <c r="M30" i="25"/>
  <c r="L30" i="25"/>
  <c r="K30" i="25"/>
  <c r="BR29" i="25"/>
  <c r="BM29" i="25"/>
  <c r="BH29" i="25"/>
  <c r="BC29" i="25"/>
  <c r="AX29" i="25"/>
  <c r="AS29" i="25"/>
  <c r="AN29" i="25"/>
  <c r="AI29" i="25"/>
  <c r="AD29" i="25"/>
  <c r="Y29" i="25"/>
  <c r="T29" i="25"/>
  <c r="O29" i="25"/>
  <c r="N29" i="25"/>
  <c r="M29" i="25"/>
  <c r="L29" i="25"/>
  <c r="K29" i="25"/>
  <c r="BR28" i="25"/>
  <c r="BM28" i="25"/>
  <c r="BH28" i="25"/>
  <c r="BC28" i="25"/>
  <c r="AX28" i="25"/>
  <c r="AS28" i="25"/>
  <c r="AN28" i="25"/>
  <c r="AI28" i="25"/>
  <c r="AD28" i="25"/>
  <c r="Y28" i="25"/>
  <c r="T28" i="25"/>
  <c r="O28" i="25"/>
  <c r="N28" i="25"/>
  <c r="M28" i="25"/>
  <c r="L28" i="25"/>
  <c r="K28" i="25"/>
  <c r="BR27" i="25"/>
  <c r="BM27" i="25"/>
  <c r="BH27" i="25"/>
  <c r="BC27" i="25"/>
  <c r="AX27" i="25"/>
  <c r="AS27" i="25"/>
  <c r="AN27" i="25"/>
  <c r="AI27" i="25"/>
  <c r="AD27" i="25"/>
  <c r="Y27" i="25"/>
  <c r="T27" i="25"/>
  <c r="O27" i="25"/>
  <c r="N27" i="25"/>
  <c r="M27" i="25"/>
  <c r="L27" i="25"/>
  <c r="K27" i="25"/>
  <c r="BR26" i="25"/>
  <c r="BM26" i="25"/>
  <c r="BH26" i="25"/>
  <c r="BC26" i="25"/>
  <c r="AX26" i="25"/>
  <c r="AS26" i="25"/>
  <c r="AN26" i="25"/>
  <c r="AI26" i="25"/>
  <c r="AD26" i="25"/>
  <c r="Y26" i="25"/>
  <c r="T26" i="25"/>
  <c r="O26" i="25"/>
  <c r="N26" i="25"/>
  <c r="M26" i="25"/>
  <c r="L26" i="25"/>
  <c r="K26" i="25"/>
  <c r="BR25" i="25"/>
  <c r="BM25" i="25"/>
  <c r="BH25" i="25"/>
  <c r="BC25" i="25"/>
  <c r="AX25" i="25"/>
  <c r="AS25" i="25"/>
  <c r="AN25" i="25"/>
  <c r="AI25" i="25"/>
  <c r="AD25" i="25"/>
  <c r="Y25" i="25"/>
  <c r="T25" i="25"/>
  <c r="O25" i="25"/>
  <c r="N25" i="25"/>
  <c r="M25" i="25"/>
  <c r="L25" i="25"/>
  <c r="K25" i="25"/>
  <c r="BR24" i="25"/>
  <c r="BM24" i="25"/>
  <c r="BH24" i="25"/>
  <c r="BC24" i="25"/>
  <c r="AX24" i="25"/>
  <c r="AS24" i="25"/>
  <c r="AN24" i="25"/>
  <c r="AI24" i="25"/>
  <c r="AD24" i="25"/>
  <c r="Y24" i="25"/>
  <c r="T24" i="25"/>
  <c r="O24" i="25"/>
  <c r="N24" i="25"/>
  <c r="M24" i="25"/>
  <c r="L24" i="25"/>
  <c r="K24" i="25"/>
  <c r="BR23" i="25"/>
  <c r="BM23" i="25"/>
  <c r="BH23" i="25"/>
  <c r="BC23" i="25"/>
  <c r="AX23" i="25"/>
  <c r="AS23" i="25"/>
  <c r="AN23" i="25"/>
  <c r="AI23" i="25"/>
  <c r="AD23" i="25"/>
  <c r="Y23" i="25"/>
  <c r="T23" i="25"/>
  <c r="O23" i="25"/>
  <c r="N23" i="25"/>
  <c r="M23" i="25"/>
  <c r="L23" i="25"/>
  <c r="K23" i="25"/>
  <c r="BR22" i="25"/>
  <c r="BM22" i="25"/>
  <c r="BH22" i="25"/>
  <c r="BC22" i="25"/>
  <c r="AX22" i="25"/>
  <c r="AS22" i="25"/>
  <c r="AN22" i="25"/>
  <c r="AI22" i="25"/>
  <c r="AD22" i="25"/>
  <c r="Y22" i="25"/>
  <c r="T22" i="25"/>
  <c r="O22" i="25"/>
  <c r="N22" i="25"/>
  <c r="M22" i="25"/>
  <c r="L22" i="25"/>
  <c r="K22" i="25"/>
  <c r="BR21" i="25"/>
  <c r="BM21" i="25"/>
  <c r="BH21" i="25"/>
  <c r="BC21" i="25"/>
  <c r="AX21" i="25"/>
  <c r="AS21" i="25"/>
  <c r="AN21" i="25"/>
  <c r="AI21" i="25"/>
  <c r="AD21" i="25"/>
  <c r="Y21" i="25"/>
  <c r="T21" i="25"/>
  <c r="O21" i="25"/>
  <c r="N21" i="25"/>
  <c r="M21" i="25"/>
  <c r="L21" i="25"/>
  <c r="K21" i="25"/>
  <c r="BR20" i="25"/>
  <c r="BM20" i="25"/>
  <c r="BH20" i="25"/>
  <c r="BC20" i="25"/>
  <c r="AX20" i="25"/>
  <c r="AS20" i="25"/>
  <c r="AN20" i="25"/>
  <c r="AI20" i="25"/>
  <c r="AD20" i="25"/>
  <c r="Y20" i="25"/>
  <c r="T20" i="25"/>
  <c r="O20" i="25"/>
  <c r="N20" i="25"/>
  <c r="M20" i="25"/>
  <c r="L20" i="25"/>
  <c r="K20" i="25"/>
  <c r="BR19" i="25"/>
  <c r="BM19" i="25"/>
  <c r="BH19" i="25"/>
  <c r="BC19" i="25"/>
  <c r="AX19" i="25"/>
  <c r="AS19" i="25"/>
  <c r="AN19" i="25"/>
  <c r="AI19" i="25"/>
  <c r="AD19" i="25"/>
  <c r="Y19" i="25"/>
  <c r="T19" i="25"/>
  <c r="O19" i="25"/>
  <c r="N19" i="25"/>
  <c r="M19" i="25"/>
  <c r="L19" i="25"/>
  <c r="K19" i="25"/>
  <c r="BR18" i="25"/>
  <c r="BM18" i="25"/>
  <c r="BH18" i="25"/>
  <c r="BC18" i="25"/>
  <c r="AX18" i="25"/>
  <c r="AS18" i="25"/>
  <c r="AN18" i="25"/>
  <c r="AI18" i="25"/>
  <c r="AD18" i="25"/>
  <c r="Y18" i="25"/>
  <c r="T18" i="25"/>
  <c r="O18" i="25"/>
  <c r="N18" i="25"/>
  <c r="M18" i="25"/>
  <c r="L18" i="25"/>
  <c r="K18" i="25"/>
  <c r="BR17" i="25"/>
  <c r="BM17" i="25"/>
  <c r="BH17" i="25"/>
  <c r="BC17" i="25"/>
  <c r="AX17" i="25"/>
  <c r="AS17" i="25"/>
  <c r="AN17" i="25"/>
  <c r="AI17" i="25"/>
  <c r="AD17" i="25"/>
  <c r="Y17" i="25"/>
  <c r="T17" i="25"/>
  <c r="O17" i="25"/>
  <c r="N17" i="25"/>
  <c r="M17" i="25"/>
  <c r="L17" i="25"/>
  <c r="K17" i="25"/>
  <c r="BR16" i="25"/>
  <c r="BM16" i="25"/>
  <c r="BH16" i="25"/>
  <c r="BC16" i="25"/>
  <c r="AX16" i="25"/>
  <c r="AS16" i="25"/>
  <c r="AN16" i="25"/>
  <c r="AI16" i="25"/>
  <c r="AD16" i="25"/>
  <c r="Y16" i="25"/>
  <c r="T16" i="25"/>
  <c r="O16" i="25"/>
  <c r="N16" i="25"/>
  <c r="M16" i="25"/>
  <c r="L16" i="25"/>
  <c r="K16" i="25"/>
  <c r="BR15" i="25"/>
  <c r="BM15" i="25"/>
  <c r="BH15" i="25"/>
  <c r="BC15" i="25"/>
  <c r="AX15" i="25"/>
  <c r="AS15" i="25"/>
  <c r="AN15" i="25"/>
  <c r="AI15" i="25"/>
  <c r="AD15" i="25"/>
  <c r="Y15" i="25"/>
  <c r="T15" i="25"/>
  <c r="O15" i="25"/>
  <c r="N15" i="25"/>
  <c r="M15" i="25"/>
  <c r="L15" i="25"/>
  <c r="K15" i="25"/>
  <c r="BR14" i="25"/>
  <c r="BM14" i="25"/>
  <c r="BH14" i="25"/>
  <c r="BC14" i="25"/>
  <c r="AX14" i="25"/>
  <c r="AS14" i="25"/>
  <c r="AN14" i="25"/>
  <c r="AI14" i="25"/>
  <c r="AD14" i="25"/>
  <c r="Y14" i="25"/>
  <c r="T14" i="25"/>
  <c r="O14" i="25"/>
  <c r="N14" i="25"/>
  <c r="M14" i="25"/>
  <c r="L14" i="25"/>
  <c r="K14" i="25"/>
  <c r="BV13" i="25"/>
  <c r="BV60" i="25" s="1"/>
  <c r="BU13" i="25"/>
  <c r="BT13" i="25"/>
  <c r="BT60" i="25" s="1"/>
  <c r="BS13" i="25"/>
  <c r="BS60" i="25" s="1"/>
  <c r="BQ13" i="25"/>
  <c r="BQ60" i="25" s="1"/>
  <c r="BP13" i="25"/>
  <c r="BP60" i="25" s="1"/>
  <c r="BO13" i="25"/>
  <c r="BN13" i="25"/>
  <c r="BN60" i="25" s="1"/>
  <c r="BL13" i="25"/>
  <c r="BL60" i="25" s="1"/>
  <c r="BK13" i="25"/>
  <c r="BK60" i="25" s="1"/>
  <c r="BJ13" i="25"/>
  <c r="BJ60" i="25" s="1"/>
  <c r="BI13" i="25"/>
  <c r="BG13" i="25"/>
  <c r="BG60" i="25" s="1"/>
  <c r="BF13" i="25"/>
  <c r="BF60" i="25" s="1"/>
  <c r="BE13" i="25"/>
  <c r="BE60" i="25" s="1"/>
  <c r="BD13" i="25"/>
  <c r="BD60" i="25" s="1"/>
  <c r="BB13" i="25"/>
  <c r="BB60" i="25" s="1"/>
  <c r="BA13" i="25"/>
  <c r="BA60" i="25" s="1"/>
  <c r="AZ13" i="25"/>
  <c r="AZ60" i="25" s="1"/>
  <c r="AY13" i="25"/>
  <c r="AY60" i="25" s="1"/>
  <c r="AW13" i="25"/>
  <c r="AW60" i="25" s="1"/>
  <c r="AV13" i="25"/>
  <c r="AV60" i="25" s="1"/>
  <c r="AU13" i="25"/>
  <c r="AU60" i="25" s="1"/>
  <c r="AT13" i="25"/>
  <c r="AT60" i="25" s="1"/>
  <c r="AR13" i="25"/>
  <c r="AR60" i="25" s="1"/>
  <c r="AQ13" i="25"/>
  <c r="AQ60" i="25" s="1"/>
  <c r="AP13" i="25"/>
  <c r="AP60" i="25" s="1"/>
  <c r="AO13" i="25"/>
  <c r="AO60" i="25" s="1"/>
  <c r="AM13" i="25"/>
  <c r="AM60" i="25" s="1"/>
  <c r="AL13" i="25"/>
  <c r="AL60" i="25" s="1"/>
  <c r="AK13" i="25"/>
  <c r="AJ13" i="25"/>
  <c r="AJ60" i="25" s="1"/>
  <c r="AH13" i="25"/>
  <c r="AH60" i="25" s="1"/>
  <c r="AG13" i="25"/>
  <c r="AG60" i="25" s="1"/>
  <c r="AF13" i="25"/>
  <c r="AF60" i="25" s="1"/>
  <c r="AE13" i="25"/>
  <c r="AC13" i="25"/>
  <c r="AC60" i="25" s="1"/>
  <c r="AB13" i="25"/>
  <c r="AA13" i="25"/>
  <c r="Z13" i="25"/>
  <c r="Z60" i="25" s="1"/>
  <c r="X13" i="25"/>
  <c r="X60" i="25" s="1"/>
  <c r="W13" i="25"/>
  <c r="W60" i="25" s="1"/>
  <c r="V13" i="25"/>
  <c r="V60" i="25" s="1"/>
  <c r="U13" i="25"/>
  <c r="S13" i="25"/>
  <c r="S60" i="25" s="1"/>
  <c r="R13" i="25"/>
  <c r="R60" i="25" s="1"/>
  <c r="Q13" i="25"/>
  <c r="Q60" i="25" s="1"/>
  <c r="P13" i="25"/>
  <c r="BR12" i="25"/>
  <c r="BM12" i="25"/>
  <c r="BH12" i="25"/>
  <c r="BC12" i="25"/>
  <c r="AX12" i="25"/>
  <c r="AS12" i="25"/>
  <c r="AN12" i="25"/>
  <c r="AI12" i="25"/>
  <c r="AD12" i="25"/>
  <c r="Y12" i="25"/>
  <c r="T12" i="25"/>
  <c r="O12" i="25"/>
  <c r="N12" i="25"/>
  <c r="M12" i="25"/>
  <c r="L12" i="25"/>
  <c r="K12" i="25"/>
  <c r="BR11" i="25"/>
  <c r="BM11" i="25"/>
  <c r="BH11" i="25"/>
  <c r="BC11" i="25"/>
  <c r="AX11" i="25"/>
  <c r="AS11" i="25"/>
  <c r="AN11" i="25"/>
  <c r="AI11" i="25"/>
  <c r="AD11" i="25"/>
  <c r="Y11" i="25"/>
  <c r="T11" i="25"/>
  <c r="O11" i="25"/>
  <c r="N11" i="25"/>
  <c r="M11" i="25"/>
  <c r="L11" i="25"/>
  <c r="K11" i="25"/>
  <c r="BR10" i="25"/>
  <c r="BM10" i="25"/>
  <c r="BH10" i="25"/>
  <c r="BC10" i="25"/>
  <c r="AX10" i="25"/>
  <c r="AS10" i="25"/>
  <c r="AN10" i="25"/>
  <c r="AI10" i="25"/>
  <c r="AD10" i="25"/>
  <c r="Y10" i="25"/>
  <c r="T10" i="25"/>
  <c r="O10" i="25"/>
  <c r="N10" i="25"/>
  <c r="M10" i="25"/>
  <c r="L10" i="25"/>
  <c r="K10" i="25"/>
  <c r="BR9" i="25"/>
  <c r="BM9" i="25"/>
  <c r="BH9" i="25"/>
  <c r="BC9" i="25"/>
  <c r="AX9" i="25"/>
  <c r="AS9" i="25"/>
  <c r="AN9" i="25"/>
  <c r="AI9" i="25"/>
  <c r="AD9" i="25"/>
  <c r="Y9" i="25"/>
  <c r="T9" i="25"/>
  <c r="O9" i="25"/>
  <c r="N9" i="25"/>
  <c r="M9" i="25"/>
  <c r="L9" i="25"/>
  <c r="K9" i="25"/>
  <c r="BR8" i="25"/>
  <c r="BM8" i="25"/>
  <c r="BH8" i="25"/>
  <c r="BC8" i="25"/>
  <c r="AX8" i="25"/>
  <c r="AS8" i="25"/>
  <c r="AN8" i="25"/>
  <c r="AI8" i="25"/>
  <c r="AD8" i="25"/>
  <c r="Y8" i="25"/>
  <c r="T8" i="25"/>
  <c r="O8" i="25"/>
  <c r="N8" i="25"/>
  <c r="M8" i="25"/>
  <c r="L8" i="25"/>
  <c r="K8" i="25"/>
  <c r="BV7" i="25"/>
  <c r="BU7" i="25"/>
  <c r="BT7" i="25"/>
  <c r="BT59" i="25" s="1"/>
  <c r="BS7" i="25"/>
  <c r="BQ7" i="25"/>
  <c r="BP7" i="25"/>
  <c r="BO7" i="25"/>
  <c r="BN7" i="25"/>
  <c r="BN59" i="25" s="1"/>
  <c r="BL7" i="25"/>
  <c r="BK7" i="25"/>
  <c r="BJ7" i="25"/>
  <c r="BI7" i="25"/>
  <c r="BG7" i="25"/>
  <c r="BF7" i="25"/>
  <c r="BE7" i="25"/>
  <c r="BD7" i="25"/>
  <c r="BB7" i="25"/>
  <c r="BB59" i="25" s="1"/>
  <c r="BA7" i="25"/>
  <c r="AZ7" i="25"/>
  <c r="AY7" i="25"/>
  <c r="AW7" i="25"/>
  <c r="AV7" i="25"/>
  <c r="AV59" i="25" s="1"/>
  <c r="AU7" i="25"/>
  <c r="AT7" i="25"/>
  <c r="AR7" i="25"/>
  <c r="AQ7" i="25"/>
  <c r="AP7" i="25"/>
  <c r="AP59" i="25" s="1"/>
  <c r="AO7" i="25"/>
  <c r="AM7" i="25"/>
  <c r="AL7" i="25"/>
  <c r="AK7" i="25"/>
  <c r="AJ7" i="25"/>
  <c r="AJ59" i="25" s="1"/>
  <c r="AH7" i="25"/>
  <c r="AG7" i="25"/>
  <c r="AF7" i="25"/>
  <c r="AE7" i="25"/>
  <c r="AC7" i="25"/>
  <c r="AB7" i="25"/>
  <c r="AA7" i="25"/>
  <c r="Z7" i="25"/>
  <c r="X7" i="25"/>
  <c r="X59" i="25" s="1"/>
  <c r="W7" i="25"/>
  <c r="V7" i="25"/>
  <c r="U7" i="25"/>
  <c r="S7" i="25"/>
  <c r="R7" i="25"/>
  <c r="R59" i="25" s="1"/>
  <c r="Q7" i="25"/>
  <c r="P7" i="25"/>
  <c r="A3" i="25"/>
  <c r="A2" i="25"/>
  <c r="BG52" i="15"/>
  <c r="BI52" i="15" s="1"/>
  <c r="BB52" i="15"/>
  <c r="AZ52" i="15"/>
  <c r="D52" i="15" s="1"/>
  <c r="AY52" i="15"/>
  <c r="C52" i="15" s="1"/>
  <c r="AX52" i="15"/>
  <c r="B52" i="15" s="1"/>
  <c r="AU52" i="15"/>
  <c r="AW52" i="15" s="1"/>
  <c r="AO52" i="15"/>
  <c r="AQ52" i="15" s="1"/>
  <c r="AI52" i="15"/>
  <c r="AK52" i="15" s="1"/>
  <c r="AC52" i="15"/>
  <c r="AE52" i="15" s="1"/>
  <c r="W52" i="15"/>
  <c r="Y52" i="15" s="1"/>
  <c r="Q52" i="15"/>
  <c r="S52" i="15" s="1"/>
  <c r="K52" i="15"/>
  <c r="M52" i="15" s="1"/>
  <c r="F52" i="15"/>
  <c r="BG51" i="15"/>
  <c r="BI51" i="15" s="1"/>
  <c r="BB51" i="15"/>
  <c r="F51" i="15" s="1"/>
  <c r="AZ51" i="15"/>
  <c r="D51" i="15" s="1"/>
  <c r="AY51" i="15"/>
  <c r="C51" i="15" s="1"/>
  <c r="AX51" i="15"/>
  <c r="B51" i="15" s="1"/>
  <c r="AU51" i="15"/>
  <c r="AW51" i="15" s="1"/>
  <c r="AO51" i="15"/>
  <c r="AQ51" i="15" s="1"/>
  <c r="AI51" i="15"/>
  <c r="AK51" i="15" s="1"/>
  <c r="AC51" i="15"/>
  <c r="AE51" i="15" s="1"/>
  <c r="W51" i="15"/>
  <c r="Y51" i="15" s="1"/>
  <c r="Q51" i="15"/>
  <c r="S51" i="15" s="1"/>
  <c r="K51" i="15"/>
  <c r="BI50" i="15"/>
  <c r="BG50" i="15"/>
  <c r="BB50" i="15"/>
  <c r="AZ50" i="15"/>
  <c r="D50" i="15" s="1"/>
  <c r="AY50" i="15"/>
  <c r="AX50" i="15"/>
  <c r="AU50" i="15"/>
  <c r="AO50" i="15"/>
  <c r="AQ50" i="15" s="1"/>
  <c r="AQ49" i="15" s="1"/>
  <c r="AQ70" i="15" s="1"/>
  <c r="AK50" i="15"/>
  <c r="AI50" i="15"/>
  <c r="AC50" i="15"/>
  <c r="W50" i="15"/>
  <c r="Y50" i="15" s="1"/>
  <c r="S50" i="15"/>
  <c r="Q50" i="15"/>
  <c r="K50" i="15"/>
  <c r="BH49" i="15"/>
  <c r="BH70" i="15" s="1"/>
  <c r="BF49" i="15"/>
  <c r="BF70" i="15" s="1"/>
  <c r="BE49" i="15"/>
  <c r="BE70" i="15" s="1"/>
  <c r="BD49" i="15"/>
  <c r="BD70" i="15" s="1"/>
  <c r="AV49" i="15"/>
  <c r="AV70" i="15" s="1"/>
  <c r="AT49" i="15"/>
  <c r="AT70" i="15" s="1"/>
  <c r="AS49" i="15"/>
  <c r="AS70" i="15" s="1"/>
  <c r="AR49" i="15"/>
  <c r="AR70" i="15" s="1"/>
  <c r="AP49" i="15"/>
  <c r="AP70" i="15" s="1"/>
  <c r="AN49" i="15"/>
  <c r="AN70" i="15" s="1"/>
  <c r="AM49" i="15"/>
  <c r="AM70" i="15" s="1"/>
  <c r="AL49" i="15"/>
  <c r="AL70" i="15" s="1"/>
  <c r="AJ49" i="15"/>
  <c r="AJ70" i="15" s="1"/>
  <c r="AH49" i="15"/>
  <c r="AH70" i="15" s="1"/>
  <c r="AG49" i="15"/>
  <c r="AG70" i="15" s="1"/>
  <c r="AF49" i="15"/>
  <c r="AF70" i="15" s="1"/>
  <c r="AD49" i="15"/>
  <c r="AD70" i="15" s="1"/>
  <c r="AB49" i="15"/>
  <c r="AB70" i="15" s="1"/>
  <c r="AA49" i="15"/>
  <c r="AA70" i="15" s="1"/>
  <c r="Z49" i="15"/>
  <c r="Z70" i="15" s="1"/>
  <c r="X49" i="15"/>
  <c r="X70" i="15" s="1"/>
  <c r="V49" i="15"/>
  <c r="V70" i="15" s="1"/>
  <c r="U49" i="15"/>
  <c r="U70" i="15" s="1"/>
  <c r="T49" i="15"/>
  <c r="T70" i="15" s="1"/>
  <c r="R49" i="15"/>
  <c r="R70" i="15" s="1"/>
  <c r="P49" i="15"/>
  <c r="P70" i="15" s="1"/>
  <c r="O49" i="15"/>
  <c r="O70" i="15" s="1"/>
  <c r="N49" i="15"/>
  <c r="N70" i="15" s="1"/>
  <c r="L49" i="15"/>
  <c r="L70" i="15" s="1"/>
  <c r="J49" i="15"/>
  <c r="I49" i="15"/>
  <c r="I70" i="15" s="1"/>
  <c r="H49" i="15"/>
  <c r="H70" i="15" s="1"/>
  <c r="BG48" i="15"/>
  <c r="BI48" i="15" s="1"/>
  <c r="BB48" i="15"/>
  <c r="F48" i="15" s="1"/>
  <c r="AZ48" i="15"/>
  <c r="D48" i="15" s="1"/>
  <c r="AY48" i="15"/>
  <c r="C48" i="15" s="1"/>
  <c r="AX48" i="15"/>
  <c r="B48" i="15" s="1"/>
  <c r="AU48" i="15"/>
  <c r="AW48" i="15" s="1"/>
  <c r="AQ48" i="15"/>
  <c r="AO48" i="15"/>
  <c r="AI48" i="15"/>
  <c r="AK48" i="15" s="1"/>
  <c r="AC48" i="15"/>
  <c r="AE48" i="15" s="1"/>
  <c r="Y48" i="15"/>
  <c r="W48" i="15"/>
  <c r="Q48" i="15"/>
  <c r="K48" i="15"/>
  <c r="M48" i="15" s="1"/>
  <c r="BG47" i="15"/>
  <c r="BI47" i="15" s="1"/>
  <c r="BB47" i="15"/>
  <c r="F47" i="15" s="1"/>
  <c r="AZ47" i="15"/>
  <c r="AY47" i="15"/>
  <c r="C47" i="15" s="1"/>
  <c r="AX47" i="15"/>
  <c r="B47" i="15" s="1"/>
  <c r="AU47" i="15"/>
  <c r="AW47" i="15" s="1"/>
  <c r="AQ47" i="15"/>
  <c r="AO47" i="15"/>
  <c r="AI47" i="15"/>
  <c r="AK47" i="15" s="1"/>
  <c r="AC47" i="15"/>
  <c r="AE47" i="15" s="1"/>
  <c r="Y47" i="15"/>
  <c r="W47" i="15"/>
  <c r="Q47" i="15"/>
  <c r="K47" i="15"/>
  <c r="M47" i="15" s="1"/>
  <c r="BG46" i="15"/>
  <c r="BI46" i="15" s="1"/>
  <c r="BB46" i="15"/>
  <c r="F46" i="15" s="1"/>
  <c r="AZ46" i="15"/>
  <c r="D46" i="15" s="1"/>
  <c r="AY46" i="15"/>
  <c r="C46" i="15" s="1"/>
  <c r="AX46" i="15"/>
  <c r="B46" i="15" s="1"/>
  <c r="AU46" i="15"/>
  <c r="AW46" i="15" s="1"/>
  <c r="AQ46" i="15"/>
  <c r="AO46" i="15"/>
  <c r="AI46" i="15"/>
  <c r="AK46" i="15" s="1"/>
  <c r="AC46" i="15"/>
  <c r="AE46" i="15" s="1"/>
  <c r="Y46" i="15"/>
  <c r="W46" i="15"/>
  <c r="Q46" i="15"/>
  <c r="S46" i="15" s="1"/>
  <c r="K46" i="15"/>
  <c r="M46" i="15" s="1"/>
  <c r="BG45" i="15"/>
  <c r="BI45" i="15" s="1"/>
  <c r="BB45" i="15"/>
  <c r="F45" i="15" s="1"/>
  <c r="AZ45" i="15"/>
  <c r="D45" i="15" s="1"/>
  <c r="AY45" i="15"/>
  <c r="C45" i="15" s="1"/>
  <c r="AX45" i="15"/>
  <c r="B45" i="15" s="1"/>
  <c r="AU45" i="15"/>
  <c r="AW45" i="15" s="1"/>
  <c r="AQ45" i="15"/>
  <c r="AO45" i="15"/>
  <c r="AI45" i="15"/>
  <c r="AK45" i="15" s="1"/>
  <c r="AC45" i="15"/>
  <c r="AE45" i="15" s="1"/>
  <c r="Y45" i="15"/>
  <c r="W45" i="15"/>
  <c r="Q45" i="15"/>
  <c r="S45" i="15" s="1"/>
  <c r="K45" i="15"/>
  <c r="M45" i="15" s="1"/>
  <c r="BG44" i="15"/>
  <c r="BB44" i="15"/>
  <c r="F44" i="15" s="1"/>
  <c r="AZ44" i="15"/>
  <c r="D44" i="15" s="1"/>
  <c r="AY44" i="15"/>
  <c r="C44" i="15" s="1"/>
  <c r="AX44" i="15"/>
  <c r="AU44" i="15"/>
  <c r="AW44" i="15" s="1"/>
  <c r="AQ44" i="15"/>
  <c r="AQ43" i="15" s="1"/>
  <c r="AQ69" i="15" s="1"/>
  <c r="AO44" i="15"/>
  <c r="AO43" i="15" s="1"/>
  <c r="AO69" i="15" s="1"/>
  <c r="AI44" i="15"/>
  <c r="AC44" i="15"/>
  <c r="AE44" i="15" s="1"/>
  <c r="Y44" i="15"/>
  <c r="Y43" i="15" s="1"/>
  <c r="Y69" i="15" s="1"/>
  <c r="W44" i="15"/>
  <c r="W43" i="15" s="1"/>
  <c r="W69" i="15" s="1"/>
  <c r="Q44" i="15"/>
  <c r="BH43" i="15"/>
  <c r="BH69" i="15" s="1"/>
  <c r="BF43" i="15"/>
  <c r="BF69" i="15" s="1"/>
  <c r="BE43" i="15"/>
  <c r="BE69" i="15" s="1"/>
  <c r="BD43" i="15"/>
  <c r="BD69" i="15" s="1"/>
  <c r="AV43" i="15"/>
  <c r="AV69" i="15" s="1"/>
  <c r="AT43" i="15"/>
  <c r="AT69" i="15" s="1"/>
  <c r="AS43" i="15"/>
  <c r="AS69" i="15" s="1"/>
  <c r="AR43" i="15"/>
  <c r="AR69" i="15" s="1"/>
  <c r="AP43" i="15"/>
  <c r="AP69" i="15" s="1"/>
  <c r="AN43" i="15"/>
  <c r="AN69" i="15" s="1"/>
  <c r="AM43" i="15"/>
  <c r="AM69" i="15" s="1"/>
  <c r="AL43" i="15"/>
  <c r="AL69" i="15" s="1"/>
  <c r="AJ43" i="15"/>
  <c r="AJ69" i="15" s="1"/>
  <c r="AH43" i="15"/>
  <c r="AH69" i="15" s="1"/>
  <c r="AG43" i="15"/>
  <c r="AG69" i="15" s="1"/>
  <c r="AF43" i="15"/>
  <c r="AF69" i="15" s="1"/>
  <c r="AD43" i="15"/>
  <c r="AD69" i="15" s="1"/>
  <c r="AB43" i="15"/>
  <c r="AB69" i="15" s="1"/>
  <c r="AA43" i="15"/>
  <c r="AA69" i="15" s="1"/>
  <c r="Z43" i="15"/>
  <c r="Z69" i="15" s="1"/>
  <c r="X43" i="15"/>
  <c r="X69" i="15" s="1"/>
  <c r="V43" i="15"/>
  <c r="V69" i="15" s="1"/>
  <c r="U43" i="15"/>
  <c r="U69" i="15" s="1"/>
  <c r="T43" i="15"/>
  <c r="T69" i="15" s="1"/>
  <c r="R43" i="15"/>
  <c r="R69" i="15" s="1"/>
  <c r="P43" i="15"/>
  <c r="P69" i="15" s="1"/>
  <c r="O43" i="15"/>
  <c r="O69" i="15" s="1"/>
  <c r="N43" i="15"/>
  <c r="N69" i="15" s="1"/>
  <c r="L43" i="15"/>
  <c r="L69" i="15" s="1"/>
  <c r="J43" i="15"/>
  <c r="J69" i="15" s="1"/>
  <c r="I43" i="15"/>
  <c r="I69" i="15" s="1"/>
  <c r="H43" i="15"/>
  <c r="H69" i="15" s="1"/>
  <c r="BG42" i="15"/>
  <c r="BI42" i="15" s="1"/>
  <c r="BB42" i="15"/>
  <c r="F42" i="15" s="1"/>
  <c r="AZ42" i="15"/>
  <c r="D42" i="15" s="1"/>
  <c r="AY42" i="15"/>
  <c r="C42" i="15" s="1"/>
  <c r="AX42" i="15"/>
  <c r="B42" i="15" s="1"/>
  <c r="AW42" i="15"/>
  <c r="AU42" i="15"/>
  <c r="AO42" i="15"/>
  <c r="AQ42" i="15" s="1"/>
  <c r="AI42" i="15"/>
  <c r="AK42" i="15" s="1"/>
  <c r="AE42" i="15"/>
  <c r="AC42" i="15"/>
  <c r="W42" i="15"/>
  <c r="Y42" i="15" s="1"/>
  <c r="Q42" i="15"/>
  <c r="S42" i="15" s="1"/>
  <c r="M42" i="15"/>
  <c r="K42" i="15"/>
  <c r="BG41" i="15"/>
  <c r="BI41" i="15" s="1"/>
  <c r="BB41" i="15"/>
  <c r="F41" i="15" s="1"/>
  <c r="AZ41" i="15"/>
  <c r="D41" i="15" s="1"/>
  <c r="AY41" i="15"/>
  <c r="AX41" i="15"/>
  <c r="B41" i="15" s="1"/>
  <c r="E41" i="15" s="1"/>
  <c r="AU41" i="15"/>
  <c r="AW41" i="15" s="1"/>
  <c r="AO41" i="15"/>
  <c r="AQ41" i="15" s="1"/>
  <c r="AI41" i="15"/>
  <c r="AK41" i="15" s="1"/>
  <c r="AC41" i="15"/>
  <c r="AE41" i="15" s="1"/>
  <c r="W41" i="15"/>
  <c r="Y41" i="15" s="1"/>
  <c r="Q41" i="15"/>
  <c r="S41" i="15" s="1"/>
  <c r="K41" i="15"/>
  <c r="M41" i="15" s="1"/>
  <c r="C41" i="15"/>
  <c r="BG40" i="15"/>
  <c r="BI40" i="15" s="1"/>
  <c r="BB40" i="15"/>
  <c r="AZ40" i="15"/>
  <c r="AY40" i="15"/>
  <c r="C40" i="15" s="1"/>
  <c r="AX40" i="15"/>
  <c r="B40" i="15" s="1"/>
  <c r="AW40" i="15"/>
  <c r="AU40" i="15"/>
  <c r="AO40" i="15"/>
  <c r="AQ40" i="15" s="1"/>
  <c r="AI40" i="15"/>
  <c r="AK40" i="15" s="1"/>
  <c r="AE40" i="15"/>
  <c r="AC40" i="15"/>
  <c r="W40" i="15"/>
  <c r="Y40" i="15" s="1"/>
  <c r="Q40" i="15"/>
  <c r="S40" i="15" s="1"/>
  <c r="M40" i="15"/>
  <c r="K40" i="15"/>
  <c r="F40" i="15"/>
  <c r="D40" i="15"/>
  <c r="BG39" i="15"/>
  <c r="BI39" i="15" s="1"/>
  <c r="BB39" i="15"/>
  <c r="F39" i="15" s="1"/>
  <c r="F37" i="15" s="1"/>
  <c r="F68" i="15" s="1"/>
  <c r="AZ39" i="15"/>
  <c r="D39" i="15" s="1"/>
  <c r="AY39" i="15"/>
  <c r="C39" i="15" s="1"/>
  <c r="AX39" i="15"/>
  <c r="B39" i="15" s="1"/>
  <c r="AW39" i="15"/>
  <c r="AU39" i="15"/>
  <c r="AO39" i="15"/>
  <c r="AQ39" i="15" s="1"/>
  <c r="AI39" i="15"/>
  <c r="AK39" i="15" s="1"/>
  <c r="AE39" i="15"/>
  <c r="AC39" i="15"/>
  <c r="W39" i="15"/>
  <c r="Y39" i="15" s="1"/>
  <c r="Q39" i="15"/>
  <c r="S39" i="15" s="1"/>
  <c r="M39" i="15"/>
  <c r="BC39" i="15" s="1"/>
  <c r="K39" i="15"/>
  <c r="BG38" i="15"/>
  <c r="BI38" i="15" s="1"/>
  <c r="BI37" i="15" s="1"/>
  <c r="BI68" i="15" s="1"/>
  <c r="BB38" i="15"/>
  <c r="F38" i="15" s="1"/>
  <c r="AZ38" i="15"/>
  <c r="AY38" i="15"/>
  <c r="AX38" i="15"/>
  <c r="B38" i="15" s="1"/>
  <c r="B37" i="15" s="1"/>
  <c r="B68" i="15" s="1"/>
  <c r="AW38" i="15"/>
  <c r="AU38" i="15"/>
  <c r="AO38" i="15"/>
  <c r="AQ38" i="15" s="1"/>
  <c r="AI38" i="15"/>
  <c r="AK38" i="15" s="1"/>
  <c r="AE38" i="15"/>
  <c r="AC38" i="15"/>
  <c r="AC37" i="15" s="1"/>
  <c r="AC68" i="15" s="1"/>
  <c r="W38" i="15"/>
  <c r="Y38" i="15" s="1"/>
  <c r="Q38" i="15"/>
  <c r="S38" i="15" s="1"/>
  <c r="S37" i="15" s="1"/>
  <c r="S68" i="15" s="1"/>
  <c r="M38" i="15"/>
  <c r="K38" i="15"/>
  <c r="D38" i="15"/>
  <c r="C38" i="15"/>
  <c r="BH37" i="15"/>
  <c r="BH68" i="15" s="1"/>
  <c r="BF37" i="15"/>
  <c r="BF68" i="15" s="1"/>
  <c r="BE37" i="15"/>
  <c r="BE68" i="15" s="1"/>
  <c r="BD37" i="15"/>
  <c r="BD68" i="15" s="1"/>
  <c r="AV37" i="15"/>
  <c r="AV68" i="15" s="1"/>
  <c r="AU37" i="15"/>
  <c r="AU68" i="15" s="1"/>
  <c r="AT37" i="15"/>
  <c r="AT68" i="15" s="1"/>
  <c r="AS37" i="15"/>
  <c r="AS68" i="15" s="1"/>
  <c r="AR37" i="15"/>
  <c r="AR68" i="15" s="1"/>
  <c r="AP37" i="15"/>
  <c r="AP68" i="15" s="1"/>
  <c r="AN37" i="15"/>
  <c r="AN68" i="15" s="1"/>
  <c r="AM37" i="15"/>
  <c r="AM68" i="15" s="1"/>
  <c r="AL37" i="15"/>
  <c r="AL68" i="15" s="1"/>
  <c r="AJ37" i="15"/>
  <c r="AJ68" i="15" s="1"/>
  <c r="AH37" i="15"/>
  <c r="AH68" i="15" s="1"/>
  <c r="AG37" i="15"/>
  <c r="AG68" i="15" s="1"/>
  <c r="AF37" i="15"/>
  <c r="AF68" i="15" s="1"/>
  <c r="AD37" i="15"/>
  <c r="AD68" i="15" s="1"/>
  <c r="AB37" i="15"/>
  <c r="AB68" i="15" s="1"/>
  <c r="AA37" i="15"/>
  <c r="AA68" i="15" s="1"/>
  <c r="Z37" i="15"/>
  <c r="Z68" i="15" s="1"/>
  <c r="X37" i="15"/>
  <c r="X68" i="15" s="1"/>
  <c r="V37" i="15"/>
  <c r="V68" i="15" s="1"/>
  <c r="U37" i="15"/>
  <c r="U68" i="15" s="1"/>
  <c r="T37" i="15"/>
  <c r="T68" i="15" s="1"/>
  <c r="R37" i="15"/>
  <c r="R68" i="15" s="1"/>
  <c r="Q37" i="15"/>
  <c r="Q68" i="15" s="1"/>
  <c r="P37" i="15"/>
  <c r="P68" i="15" s="1"/>
  <c r="O37" i="15"/>
  <c r="O68" i="15" s="1"/>
  <c r="N37" i="15"/>
  <c r="N68" i="15" s="1"/>
  <c r="L37" i="15"/>
  <c r="L68" i="15" s="1"/>
  <c r="K37" i="15"/>
  <c r="K68" i="15" s="1"/>
  <c r="J37" i="15"/>
  <c r="J68" i="15" s="1"/>
  <c r="I37" i="15"/>
  <c r="I68" i="15" s="1"/>
  <c r="H37" i="15"/>
  <c r="H68" i="15" s="1"/>
  <c r="BI36" i="15"/>
  <c r="BG36" i="15"/>
  <c r="BB36" i="15"/>
  <c r="F36" i="15" s="1"/>
  <c r="AZ36" i="15"/>
  <c r="D36" i="15" s="1"/>
  <c r="AY36" i="15"/>
  <c r="C36" i="15" s="1"/>
  <c r="AX36" i="15"/>
  <c r="B36" i="15" s="1"/>
  <c r="AU36" i="15"/>
  <c r="AW36" i="15" s="1"/>
  <c r="AO36" i="15"/>
  <c r="AQ36" i="15" s="1"/>
  <c r="AK36" i="15"/>
  <c r="AI36" i="15"/>
  <c r="AC36" i="15"/>
  <c r="AE36" i="15" s="1"/>
  <c r="W36" i="15"/>
  <c r="Y36" i="15" s="1"/>
  <c r="S36" i="15"/>
  <c r="Q36" i="15"/>
  <c r="K36" i="15"/>
  <c r="BI35" i="15"/>
  <c r="BG35" i="15"/>
  <c r="BB35" i="15"/>
  <c r="F35" i="15" s="1"/>
  <c r="AZ35" i="15"/>
  <c r="D35" i="15" s="1"/>
  <c r="AY35" i="15"/>
  <c r="C35" i="15" s="1"/>
  <c r="AX35" i="15"/>
  <c r="B35" i="15" s="1"/>
  <c r="AU35" i="15"/>
  <c r="AW35" i="15" s="1"/>
  <c r="AO35" i="15"/>
  <c r="AQ35" i="15" s="1"/>
  <c r="AK35" i="15"/>
  <c r="AI35" i="15"/>
  <c r="AC35" i="15"/>
  <c r="AE35" i="15" s="1"/>
  <c r="W35" i="15"/>
  <c r="Y35" i="15" s="1"/>
  <c r="S35" i="15"/>
  <c r="Q35" i="15"/>
  <c r="K35" i="15"/>
  <c r="BI34" i="15"/>
  <c r="BG34" i="15"/>
  <c r="BB34" i="15"/>
  <c r="F34" i="15" s="1"/>
  <c r="AZ34" i="15"/>
  <c r="D34" i="15" s="1"/>
  <c r="AY34" i="15"/>
  <c r="C34" i="15" s="1"/>
  <c r="AX34" i="15"/>
  <c r="B34" i="15" s="1"/>
  <c r="AU34" i="15"/>
  <c r="AW34" i="15" s="1"/>
  <c r="AO34" i="15"/>
  <c r="AQ34" i="15" s="1"/>
  <c r="AK34" i="15"/>
  <c r="AI34" i="15"/>
  <c r="AC34" i="15"/>
  <c r="AE34" i="15" s="1"/>
  <c r="W34" i="15"/>
  <c r="Y34" i="15" s="1"/>
  <c r="Q34" i="15"/>
  <c r="S34" i="15" s="1"/>
  <c r="K34" i="15"/>
  <c r="BG33" i="15"/>
  <c r="BG32" i="15" s="1"/>
  <c r="BG67" i="15" s="1"/>
  <c r="BB33" i="15"/>
  <c r="F33" i="15" s="1"/>
  <c r="AZ33" i="15"/>
  <c r="D33" i="15" s="1"/>
  <c r="AY33" i="15"/>
  <c r="AX33" i="15"/>
  <c r="AU33" i="15"/>
  <c r="AO33" i="15"/>
  <c r="AI33" i="15"/>
  <c r="AK33" i="15" s="1"/>
  <c r="AK32" i="15" s="1"/>
  <c r="AK67" i="15" s="1"/>
  <c r="AC33" i="15"/>
  <c r="W33" i="15"/>
  <c r="Q33" i="15"/>
  <c r="Q32" i="15" s="1"/>
  <c r="Q67" i="15" s="1"/>
  <c r="K33" i="15"/>
  <c r="BH32" i="15"/>
  <c r="BH67" i="15" s="1"/>
  <c r="BF32" i="15"/>
  <c r="BF67" i="15" s="1"/>
  <c r="BE32" i="15"/>
  <c r="BE67" i="15" s="1"/>
  <c r="BD32" i="15"/>
  <c r="BD67" i="15" s="1"/>
  <c r="AV32" i="15"/>
  <c r="AV67" i="15" s="1"/>
  <c r="AT32" i="15"/>
  <c r="AT67" i="15" s="1"/>
  <c r="AS32" i="15"/>
  <c r="AS67" i="15" s="1"/>
  <c r="AR32" i="15"/>
  <c r="AR67" i="15" s="1"/>
  <c r="AP32" i="15"/>
  <c r="AP67" i="15" s="1"/>
  <c r="AN32" i="15"/>
  <c r="AN67" i="15" s="1"/>
  <c r="AM32" i="15"/>
  <c r="AM67" i="15" s="1"/>
  <c r="AL32" i="15"/>
  <c r="AL67" i="15" s="1"/>
  <c r="AJ32" i="15"/>
  <c r="AJ67" i="15" s="1"/>
  <c r="AH32" i="15"/>
  <c r="AH67" i="15" s="1"/>
  <c r="AG32" i="15"/>
  <c r="AG67" i="15" s="1"/>
  <c r="AF32" i="15"/>
  <c r="AF67" i="15" s="1"/>
  <c r="AD32" i="15"/>
  <c r="AD67" i="15" s="1"/>
  <c r="AB32" i="15"/>
  <c r="AB67" i="15" s="1"/>
  <c r="AA32" i="15"/>
  <c r="AA67" i="15" s="1"/>
  <c r="Z32" i="15"/>
  <c r="Z67" i="15" s="1"/>
  <c r="X32" i="15"/>
  <c r="X67" i="15" s="1"/>
  <c r="V32" i="15"/>
  <c r="V67" i="15" s="1"/>
  <c r="U32" i="15"/>
  <c r="U67" i="15" s="1"/>
  <c r="T32" i="15"/>
  <c r="T67" i="15" s="1"/>
  <c r="R32" i="15"/>
  <c r="R67" i="15" s="1"/>
  <c r="P32" i="15"/>
  <c r="P67" i="15" s="1"/>
  <c r="O32" i="15"/>
  <c r="O67" i="15" s="1"/>
  <c r="N32" i="15"/>
  <c r="N67" i="15" s="1"/>
  <c r="L32" i="15"/>
  <c r="L67" i="15" s="1"/>
  <c r="J32" i="15"/>
  <c r="J67" i="15" s="1"/>
  <c r="I32" i="15"/>
  <c r="I67" i="15" s="1"/>
  <c r="H32" i="15"/>
  <c r="H67" i="15" s="1"/>
  <c r="BG31" i="15"/>
  <c r="BI31" i="15" s="1"/>
  <c r="BB31" i="15"/>
  <c r="F31" i="15" s="1"/>
  <c r="AZ31" i="15"/>
  <c r="D31" i="15" s="1"/>
  <c r="AY31" i="15"/>
  <c r="C31" i="15" s="1"/>
  <c r="AX31" i="15"/>
  <c r="B31" i="15" s="1"/>
  <c r="AU31" i="15"/>
  <c r="AW31" i="15" s="1"/>
  <c r="AQ31" i="15"/>
  <c r="AO31" i="15"/>
  <c r="AI31" i="15"/>
  <c r="AK31" i="15" s="1"/>
  <c r="AC31" i="15"/>
  <c r="AE31" i="15" s="1"/>
  <c r="W31" i="15"/>
  <c r="Y31" i="15" s="1"/>
  <c r="Q31" i="15"/>
  <c r="S31" i="15" s="1"/>
  <c r="K31" i="15"/>
  <c r="M31" i="15" s="1"/>
  <c r="BG30" i="15"/>
  <c r="BI30" i="15" s="1"/>
  <c r="BB30" i="15"/>
  <c r="F30" i="15" s="1"/>
  <c r="AZ30" i="15"/>
  <c r="D30" i="15" s="1"/>
  <c r="AY30" i="15"/>
  <c r="C30" i="15" s="1"/>
  <c r="AX30" i="15"/>
  <c r="B30" i="15" s="1"/>
  <c r="AU30" i="15"/>
  <c r="AW30" i="15" s="1"/>
  <c r="AO30" i="15"/>
  <c r="AQ30" i="15" s="1"/>
  <c r="AK30" i="15"/>
  <c r="AI30" i="15"/>
  <c r="AC30" i="15"/>
  <c r="AE30" i="15" s="1"/>
  <c r="W30" i="15"/>
  <c r="Y30" i="15" s="1"/>
  <c r="S30" i="15"/>
  <c r="Q30" i="15"/>
  <c r="K30" i="15"/>
  <c r="BG29" i="15"/>
  <c r="BI29" i="15" s="1"/>
  <c r="BB29" i="15"/>
  <c r="F29" i="15" s="1"/>
  <c r="AZ29" i="15"/>
  <c r="D29" i="15" s="1"/>
  <c r="AY29" i="15"/>
  <c r="C29" i="15" s="1"/>
  <c r="AX29" i="15"/>
  <c r="B29" i="15" s="1"/>
  <c r="AU29" i="15"/>
  <c r="AW29" i="15" s="1"/>
  <c r="AO29" i="15"/>
  <c r="AQ29" i="15" s="1"/>
  <c r="AI29" i="15"/>
  <c r="AK29" i="15" s="1"/>
  <c r="AC29" i="15"/>
  <c r="AE29" i="15" s="1"/>
  <c r="W29" i="15"/>
  <c r="Y29" i="15" s="1"/>
  <c r="Q29" i="15"/>
  <c r="S29" i="15" s="1"/>
  <c r="K29" i="15"/>
  <c r="M29" i="15" s="1"/>
  <c r="BG28" i="15"/>
  <c r="BI28" i="15" s="1"/>
  <c r="BB28" i="15"/>
  <c r="F28" i="15" s="1"/>
  <c r="AZ28" i="15"/>
  <c r="D28" i="15" s="1"/>
  <c r="AY28" i="15"/>
  <c r="C28" i="15" s="1"/>
  <c r="AX28" i="15"/>
  <c r="B28" i="15" s="1"/>
  <c r="AU28" i="15"/>
  <c r="AW28" i="15" s="1"/>
  <c r="AO28" i="15"/>
  <c r="AQ28" i="15" s="1"/>
  <c r="AI28" i="15"/>
  <c r="AK28" i="15" s="1"/>
  <c r="AC28" i="15"/>
  <c r="AE28" i="15" s="1"/>
  <c r="W28" i="15"/>
  <c r="Y28" i="15" s="1"/>
  <c r="Q28" i="15"/>
  <c r="S28" i="15" s="1"/>
  <c r="K28" i="15"/>
  <c r="BA28" i="15" s="1"/>
  <c r="BG27" i="15"/>
  <c r="BI27" i="15" s="1"/>
  <c r="BB27" i="15"/>
  <c r="F27" i="15" s="1"/>
  <c r="AZ27" i="15"/>
  <c r="D27" i="15" s="1"/>
  <c r="AY27" i="15"/>
  <c r="C27" i="15" s="1"/>
  <c r="AX27" i="15"/>
  <c r="B27" i="15" s="1"/>
  <c r="AU27" i="15"/>
  <c r="AW27" i="15" s="1"/>
  <c r="AO27" i="15"/>
  <c r="AQ27" i="15" s="1"/>
  <c r="AI27" i="15"/>
  <c r="AK27" i="15" s="1"/>
  <c r="AC27" i="15"/>
  <c r="AE27" i="15" s="1"/>
  <c r="W27" i="15"/>
  <c r="Y27" i="15" s="1"/>
  <c r="Q27" i="15"/>
  <c r="S27" i="15" s="1"/>
  <c r="K27" i="15"/>
  <c r="BG26" i="15"/>
  <c r="BI26" i="15" s="1"/>
  <c r="BB26" i="15"/>
  <c r="F26" i="15" s="1"/>
  <c r="AZ26" i="15"/>
  <c r="D26" i="15" s="1"/>
  <c r="AY26" i="15"/>
  <c r="C26" i="15" s="1"/>
  <c r="AX26" i="15"/>
  <c r="B26" i="15" s="1"/>
  <c r="AU26" i="15"/>
  <c r="AW26" i="15" s="1"/>
  <c r="AQ26" i="15"/>
  <c r="AO26" i="15"/>
  <c r="AI26" i="15"/>
  <c r="AK26" i="15" s="1"/>
  <c r="AC26" i="15"/>
  <c r="AE26" i="15" s="1"/>
  <c r="Y26" i="15"/>
  <c r="W26" i="15"/>
  <c r="Q26" i="15"/>
  <c r="S26" i="15" s="1"/>
  <c r="K26" i="15"/>
  <c r="M26" i="15" s="1"/>
  <c r="BG25" i="15"/>
  <c r="BI25" i="15" s="1"/>
  <c r="BI24" i="15" s="1"/>
  <c r="BI66" i="15" s="1"/>
  <c r="BB25" i="15"/>
  <c r="AZ25" i="15"/>
  <c r="D25" i="15" s="1"/>
  <c r="AY25" i="15"/>
  <c r="C25" i="15" s="1"/>
  <c r="AX25" i="15"/>
  <c r="B25" i="15" s="1"/>
  <c r="AU25" i="15"/>
  <c r="AW25" i="15" s="1"/>
  <c r="AQ25" i="15"/>
  <c r="AO25" i="15"/>
  <c r="AI25" i="15"/>
  <c r="AK25" i="15" s="1"/>
  <c r="AC25" i="15"/>
  <c r="AE25" i="15" s="1"/>
  <c r="Y25" i="15"/>
  <c r="W25" i="15"/>
  <c r="Q25" i="15"/>
  <c r="S25" i="15" s="1"/>
  <c r="S24" i="15" s="1"/>
  <c r="S66" i="15" s="1"/>
  <c r="K25" i="15"/>
  <c r="M25" i="15" s="1"/>
  <c r="BH24" i="15"/>
  <c r="BH66" i="15" s="1"/>
  <c r="BF24" i="15"/>
  <c r="BF66" i="15" s="1"/>
  <c r="BE24" i="15"/>
  <c r="BE66" i="15" s="1"/>
  <c r="BD24" i="15"/>
  <c r="BD66" i="15" s="1"/>
  <c r="AV24" i="15"/>
  <c r="AV66" i="15" s="1"/>
  <c r="AT24" i="15"/>
  <c r="AT66" i="15" s="1"/>
  <c r="AS24" i="15"/>
  <c r="AS66" i="15" s="1"/>
  <c r="AR24" i="15"/>
  <c r="AR66" i="15" s="1"/>
  <c r="AP24" i="15"/>
  <c r="AP66" i="15" s="1"/>
  <c r="AN24" i="15"/>
  <c r="AN66" i="15" s="1"/>
  <c r="AM24" i="15"/>
  <c r="AM66" i="15" s="1"/>
  <c r="AL24" i="15"/>
  <c r="AL66" i="15" s="1"/>
  <c r="AJ24" i="15"/>
  <c r="AJ66" i="15" s="1"/>
  <c r="AI24" i="15"/>
  <c r="AI66" i="15" s="1"/>
  <c r="AH24" i="15"/>
  <c r="AH66" i="15" s="1"/>
  <c r="AG24" i="15"/>
  <c r="AG66" i="15" s="1"/>
  <c r="AF24" i="15"/>
  <c r="AF66" i="15" s="1"/>
  <c r="AD24" i="15"/>
  <c r="AD66" i="15" s="1"/>
  <c r="AB24" i="15"/>
  <c r="AB66" i="15" s="1"/>
  <c r="AA24" i="15"/>
  <c r="AA66" i="15" s="1"/>
  <c r="Z24" i="15"/>
  <c r="Z66" i="15" s="1"/>
  <c r="X24" i="15"/>
  <c r="X66" i="15" s="1"/>
  <c r="V24" i="15"/>
  <c r="V66" i="15" s="1"/>
  <c r="U24" i="15"/>
  <c r="U66" i="15" s="1"/>
  <c r="T24" i="15"/>
  <c r="T66" i="15" s="1"/>
  <c r="R24" i="15"/>
  <c r="R66" i="15" s="1"/>
  <c r="P24" i="15"/>
  <c r="P66" i="15" s="1"/>
  <c r="O24" i="15"/>
  <c r="O66" i="15" s="1"/>
  <c r="N24" i="15"/>
  <c r="N66" i="15" s="1"/>
  <c r="L24" i="15"/>
  <c r="L66" i="15" s="1"/>
  <c r="J24" i="15"/>
  <c r="J66" i="15" s="1"/>
  <c r="I24" i="15"/>
  <c r="I66" i="15" s="1"/>
  <c r="H24" i="15"/>
  <c r="H66" i="15" s="1"/>
  <c r="BG23" i="15"/>
  <c r="BI23" i="15" s="1"/>
  <c r="BB23" i="15"/>
  <c r="F23" i="15" s="1"/>
  <c r="AZ23" i="15"/>
  <c r="D23" i="15" s="1"/>
  <c r="AY23" i="15"/>
  <c r="C23" i="15" s="1"/>
  <c r="AX23" i="15"/>
  <c r="B23" i="15" s="1"/>
  <c r="AU23" i="15"/>
  <c r="AW23" i="15" s="1"/>
  <c r="AO23" i="15"/>
  <c r="AQ23" i="15" s="1"/>
  <c r="AI23" i="15"/>
  <c r="AK23" i="15" s="1"/>
  <c r="AC23" i="15"/>
  <c r="AE23" i="15" s="1"/>
  <c r="W23" i="15"/>
  <c r="Y23" i="15" s="1"/>
  <c r="Q23" i="15"/>
  <c r="S23" i="15" s="1"/>
  <c r="K23" i="15"/>
  <c r="BG22" i="15"/>
  <c r="BI22" i="15" s="1"/>
  <c r="BB22" i="15"/>
  <c r="F22" i="15" s="1"/>
  <c r="AZ22" i="15"/>
  <c r="D22" i="15" s="1"/>
  <c r="AY22" i="15"/>
  <c r="C22" i="15" s="1"/>
  <c r="AX22" i="15"/>
  <c r="B22" i="15" s="1"/>
  <c r="AU22" i="15"/>
  <c r="AW22" i="15" s="1"/>
  <c r="AO22" i="15"/>
  <c r="AQ22" i="15" s="1"/>
  <c r="AI22" i="15"/>
  <c r="AK22" i="15" s="1"/>
  <c r="AC22" i="15"/>
  <c r="AE22" i="15" s="1"/>
  <c r="W22" i="15"/>
  <c r="Y22" i="15" s="1"/>
  <c r="Q22" i="15"/>
  <c r="S22" i="15" s="1"/>
  <c r="K22" i="15"/>
  <c r="M22" i="15" s="1"/>
  <c r="BG21" i="15"/>
  <c r="BI21" i="15" s="1"/>
  <c r="BB21" i="15"/>
  <c r="F21" i="15" s="1"/>
  <c r="AZ21" i="15"/>
  <c r="D21" i="15" s="1"/>
  <c r="AY21" i="15"/>
  <c r="C21" i="15" s="1"/>
  <c r="AX21" i="15"/>
  <c r="B21" i="15" s="1"/>
  <c r="AU21" i="15"/>
  <c r="AW21" i="15" s="1"/>
  <c r="AO21" i="15"/>
  <c r="AQ21" i="15" s="1"/>
  <c r="AI21" i="15"/>
  <c r="AK21" i="15" s="1"/>
  <c r="AC21" i="15"/>
  <c r="AE21" i="15" s="1"/>
  <c r="W21" i="15"/>
  <c r="Y21" i="15" s="1"/>
  <c r="Q21" i="15"/>
  <c r="S21" i="15" s="1"/>
  <c r="K21" i="15"/>
  <c r="M21" i="15" s="1"/>
  <c r="BG20" i="15"/>
  <c r="BI20" i="15" s="1"/>
  <c r="BB20" i="15"/>
  <c r="F20" i="15" s="1"/>
  <c r="AZ20" i="15"/>
  <c r="D20" i="15" s="1"/>
  <c r="AY20" i="15"/>
  <c r="C20" i="15" s="1"/>
  <c r="AX20" i="15"/>
  <c r="B20" i="15" s="1"/>
  <c r="AU20" i="15"/>
  <c r="AW20" i="15" s="1"/>
  <c r="AO20" i="15"/>
  <c r="AQ20" i="15" s="1"/>
  <c r="AI20" i="15"/>
  <c r="AK20" i="15" s="1"/>
  <c r="AC20" i="15"/>
  <c r="AE20" i="15" s="1"/>
  <c r="W20" i="15"/>
  <c r="Y20" i="15" s="1"/>
  <c r="Q20" i="15"/>
  <c r="S20" i="15" s="1"/>
  <c r="K20" i="15"/>
  <c r="M20" i="15" s="1"/>
  <c r="BG19" i="15"/>
  <c r="BI19" i="15" s="1"/>
  <c r="BB19" i="15"/>
  <c r="F19" i="15" s="1"/>
  <c r="AZ19" i="15"/>
  <c r="D19" i="15" s="1"/>
  <c r="AY19" i="15"/>
  <c r="C19" i="15" s="1"/>
  <c r="AX19" i="15"/>
  <c r="B19" i="15" s="1"/>
  <c r="AU19" i="15"/>
  <c r="AW19" i="15" s="1"/>
  <c r="AO19" i="15"/>
  <c r="AQ19" i="15" s="1"/>
  <c r="AI19" i="15"/>
  <c r="AK19" i="15" s="1"/>
  <c r="AC19" i="15"/>
  <c r="AE19" i="15" s="1"/>
  <c r="W19" i="15"/>
  <c r="Y19" i="15" s="1"/>
  <c r="Q19" i="15"/>
  <c r="S19" i="15" s="1"/>
  <c r="K19" i="15"/>
  <c r="M19" i="15" s="1"/>
  <c r="BG18" i="15"/>
  <c r="BI18" i="15" s="1"/>
  <c r="BB18" i="15"/>
  <c r="F18" i="15" s="1"/>
  <c r="AZ18" i="15"/>
  <c r="D18" i="15" s="1"/>
  <c r="AY18" i="15"/>
  <c r="C18" i="15" s="1"/>
  <c r="AX18" i="15"/>
  <c r="B18" i="15" s="1"/>
  <c r="AU18" i="15"/>
  <c r="AW18" i="15" s="1"/>
  <c r="AO18" i="15"/>
  <c r="AQ18" i="15" s="1"/>
  <c r="AI18" i="15"/>
  <c r="AK18" i="15" s="1"/>
  <c r="AC18" i="15"/>
  <c r="AE18" i="15" s="1"/>
  <c r="W18" i="15"/>
  <c r="Y18" i="15" s="1"/>
  <c r="Q18" i="15"/>
  <c r="S18" i="15" s="1"/>
  <c r="K18" i="15"/>
  <c r="M18" i="15" s="1"/>
  <c r="BG17" i="15"/>
  <c r="BB17" i="15"/>
  <c r="AZ17" i="15"/>
  <c r="AY17" i="15"/>
  <c r="C17" i="15" s="1"/>
  <c r="AX17" i="15"/>
  <c r="B17" i="15" s="1"/>
  <c r="AU17" i="15"/>
  <c r="AW17" i="15" s="1"/>
  <c r="AO17" i="15"/>
  <c r="AO16" i="15" s="1"/>
  <c r="AO65" i="15" s="1"/>
  <c r="AI17" i="15"/>
  <c r="AI16" i="15" s="1"/>
  <c r="AI65" i="15" s="1"/>
  <c r="AC17" i="15"/>
  <c r="AE17" i="15" s="1"/>
  <c r="W17" i="15"/>
  <c r="W16" i="15" s="1"/>
  <c r="W65" i="15" s="1"/>
  <c r="Q17" i="15"/>
  <c r="Q16" i="15" s="1"/>
  <c r="Q65" i="15" s="1"/>
  <c r="M17" i="15"/>
  <c r="BH16" i="15"/>
  <c r="BH65" i="15" s="1"/>
  <c r="BF16" i="15"/>
  <c r="BF65" i="15" s="1"/>
  <c r="BE16" i="15"/>
  <c r="BE65" i="15" s="1"/>
  <c r="BD16" i="15"/>
  <c r="BD65" i="15" s="1"/>
  <c r="AV16" i="15"/>
  <c r="AV65" i="15" s="1"/>
  <c r="AT16" i="15"/>
  <c r="AT65" i="15" s="1"/>
  <c r="AS16" i="15"/>
  <c r="AS65" i="15" s="1"/>
  <c r="AR16" i="15"/>
  <c r="AR65" i="15" s="1"/>
  <c r="AP16" i="15"/>
  <c r="AP65" i="15" s="1"/>
  <c r="AN16" i="15"/>
  <c r="AN65" i="15" s="1"/>
  <c r="AM16" i="15"/>
  <c r="AM65" i="15" s="1"/>
  <c r="AL16" i="15"/>
  <c r="AL65" i="15" s="1"/>
  <c r="AJ16" i="15"/>
  <c r="AJ65" i="15" s="1"/>
  <c r="AH16" i="15"/>
  <c r="AH65" i="15" s="1"/>
  <c r="AG16" i="15"/>
  <c r="AG65" i="15" s="1"/>
  <c r="AF16" i="15"/>
  <c r="AF65" i="15" s="1"/>
  <c r="AD16" i="15"/>
  <c r="AD65" i="15" s="1"/>
  <c r="AB16" i="15"/>
  <c r="AB65" i="15" s="1"/>
  <c r="AA16" i="15"/>
  <c r="AA65" i="15" s="1"/>
  <c r="Z16" i="15"/>
  <c r="Z65" i="15" s="1"/>
  <c r="X16" i="15"/>
  <c r="X65" i="15" s="1"/>
  <c r="V16" i="15"/>
  <c r="V65" i="15" s="1"/>
  <c r="U16" i="15"/>
  <c r="U65" i="15" s="1"/>
  <c r="T16" i="15"/>
  <c r="T65" i="15" s="1"/>
  <c r="R16" i="15"/>
  <c r="R65" i="15" s="1"/>
  <c r="P16" i="15"/>
  <c r="P65" i="15" s="1"/>
  <c r="O16" i="15"/>
  <c r="O65" i="15" s="1"/>
  <c r="N16" i="15"/>
  <c r="N65" i="15" s="1"/>
  <c r="L16" i="15"/>
  <c r="L65" i="15" s="1"/>
  <c r="J16" i="15"/>
  <c r="J65" i="15" s="1"/>
  <c r="I16" i="15"/>
  <c r="I65" i="15" s="1"/>
  <c r="H16" i="15"/>
  <c r="H65" i="15" s="1"/>
  <c r="BG15" i="15"/>
  <c r="BI15" i="15" s="1"/>
  <c r="BB15" i="15"/>
  <c r="F15" i="15" s="1"/>
  <c r="AZ15" i="15"/>
  <c r="D15" i="15" s="1"/>
  <c r="AY15" i="15"/>
  <c r="C15" i="15" s="1"/>
  <c r="AX15" i="15"/>
  <c r="B15" i="15" s="1"/>
  <c r="AU15" i="15"/>
  <c r="AW15" i="15" s="1"/>
  <c r="AO15" i="15"/>
  <c r="AQ15" i="15" s="1"/>
  <c r="AI15" i="15"/>
  <c r="AK15" i="15" s="1"/>
  <c r="AC15" i="15"/>
  <c r="AE15" i="15" s="1"/>
  <c r="W15" i="15"/>
  <c r="Y15" i="15" s="1"/>
  <c r="Q15" i="15"/>
  <c r="S15" i="15" s="1"/>
  <c r="K15" i="15"/>
  <c r="M15" i="15" s="1"/>
  <c r="BG14" i="15"/>
  <c r="BI14" i="15" s="1"/>
  <c r="BB14" i="15"/>
  <c r="F14" i="15" s="1"/>
  <c r="AZ14" i="15"/>
  <c r="D14" i="15" s="1"/>
  <c r="AY14" i="15"/>
  <c r="C14" i="15" s="1"/>
  <c r="AX14" i="15"/>
  <c r="AU14" i="15"/>
  <c r="AW14" i="15" s="1"/>
  <c r="AO14" i="15"/>
  <c r="AQ14" i="15" s="1"/>
  <c r="AI14" i="15"/>
  <c r="AK14" i="15" s="1"/>
  <c r="AC14" i="15"/>
  <c r="AE14" i="15" s="1"/>
  <c r="W14" i="15"/>
  <c r="Y14" i="15" s="1"/>
  <c r="Q14" i="15"/>
  <c r="S14" i="15" s="1"/>
  <c r="K14" i="15"/>
  <c r="M14" i="15" s="1"/>
  <c r="B14" i="15"/>
  <c r="BG13" i="15"/>
  <c r="BI13" i="15" s="1"/>
  <c r="BB13" i="15"/>
  <c r="F13" i="15" s="1"/>
  <c r="AZ13" i="15"/>
  <c r="D13" i="15" s="1"/>
  <c r="AY13" i="15"/>
  <c r="C13" i="15" s="1"/>
  <c r="AX13" i="15"/>
  <c r="B13" i="15" s="1"/>
  <c r="AU13" i="15"/>
  <c r="AW13" i="15" s="1"/>
  <c r="AO13" i="15"/>
  <c r="AQ13" i="15" s="1"/>
  <c r="AI13" i="15"/>
  <c r="AK13" i="15" s="1"/>
  <c r="AC13" i="15"/>
  <c r="AE13" i="15" s="1"/>
  <c r="W13" i="15"/>
  <c r="Y13" i="15" s="1"/>
  <c r="Q13" i="15"/>
  <c r="S13" i="15" s="1"/>
  <c r="K13" i="15"/>
  <c r="BG12" i="15"/>
  <c r="BI12" i="15" s="1"/>
  <c r="BB12" i="15"/>
  <c r="F12" i="15" s="1"/>
  <c r="AZ12" i="15"/>
  <c r="D12" i="15" s="1"/>
  <c r="AY12" i="15"/>
  <c r="C12" i="15" s="1"/>
  <c r="AX12" i="15"/>
  <c r="B12" i="15" s="1"/>
  <c r="AU12" i="15"/>
  <c r="AW12" i="15" s="1"/>
  <c r="AO12" i="15"/>
  <c r="AQ12" i="15" s="1"/>
  <c r="AI12" i="15"/>
  <c r="AK12" i="15" s="1"/>
  <c r="AC12" i="15"/>
  <c r="AE12" i="15" s="1"/>
  <c r="W12" i="15"/>
  <c r="Y12" i="15" s="1"/>
  <c r="Q12" i="15"/>
  <c r="S12" i="15" s="1"/>
  <c r="K12" i="15"/>
  <c r="BG11" i="15"/>
  <c r="BI11" i="15" s="1"/>
  <c r="BB11" i="15"/>
  <c r="F11" i="15" s="1"/>
  <c r="AZ11" i="15"/>
  <c r="D11" i="15" s="1"/>
  <c r="AY11" i="15"/>
  <c r="C11" i="15" s="1"/>
  <c r="AX11" i="15"/>
  <c r="B11" i="15" s="1"/>
  <c r="AU11" i="15"/>
  <c r="AW11" i="15" s="1"/>
  <c r="AO11" i="15"/>
  <c r="AQ11" i="15" s="1"/>
  <c r="AI11" i="15"/>
  <c r="AK11" i="15" s="1"/>
  <c r="AC11" i="15"/>
  <c r="AE11" i="15" s="1"/>
  <c r="W11" i="15"/>
  <c r="Y11" i="15" s="1"/>
  <c r="Q11" i="15"/>
  <c r="S11" i="15" s="1"/>
  <c r="K11" i="15"/>
  <c r="BG10" i="15"/>
  <c r="BI10" i="15" s="1"/>
  <c r="BB10" i="15"/>
  <c r="F10" i="15" s="1"/>
  <c r="AZ10" i="15"/>
  <c r="D10" i="15" s="1"/>
  <c r="AY10" i="15"/>
  <c r="C10" i="15" s="1"/>
  <c r="AX10" i="15"/>
  <c r="B10" i="15" s="1"/>
  <c r="AU10" i="15"/>
  <c r="AW10" i="15" s="1"/>
  <c r="AO10" i="15"/>
  <c r="AQ10" i="15" s="1"/>
  <c r="AI10" i="15"/>
  <c r="AK10" i="15" s="1"/>
  <c r="AC10" i="15"/>
  <c r="AE10" i="15" s="1"/>
  <c r="W10" i="15"/>
  <c r="Y10" i="15" s="1"/>
  <c r="Q10" i="15"/>
  <c r="S10" i="15" s="1"/>
  <c r="K10" i="15"/>
  <c r="BG9" i="15"/>
  <c r="BB9" i="15"/>
  <c r="F9" i="15" s="1"/>
  <c r="AZ9" i="15"/>
  <c r="AY9" i="15"/>
  <c r="AX9" i="15"/>
  <c r="AU9" i="15"/>
  <c r="AW9" i="15" s="1"/>
  <c r="AW8" i="15" s="1"/>
  <c r="AO9" i="15"/>
  <c r="AQ9" i="15" s="1"/>
  <c r="AI9" i="15"/>
  <c r="AC9" i="15"/>
  <c r="AE9" i="15" s="1"/>
  <c r="AE8" i="15" s="1"/>
  <c r="W9" i="15"/>
  <c r="Y9" i="15" s="1"/>
  <c r="Q9" i="15"/>
  <c r="K9" i="15"/>
  <c r="BH8" i="15"/>
  <c r="BF8" i="15"/>
  <c r="BE8" i="15"/>
  <c r="BD8" i="15"/>
  <c r="BD53" i="15" s="1"/>
  <c r="BD71" i="15" s="1"/>
  <c r="AV8" i="15"/>
  <c r="AT8" i="15"/>
  <c r="AS8" i="15"/>
  <c r="AR8" i="15"/>
  <c r="AP8" i="15"/>
  <c r="AN8" i="15"/>
  <c r="AM8" i="15"/>
  <c r="AL8" i="15"/>
  <c r="AL53" i="15" s="1"/>
  <c r="AL71" i="15" s="1"/>
  <c r="AJ8" i="15"/>
  <c r="AH8" i="15"/>
  <c r="AG8" i="15"/>
  <c r="AF8" i="15"/>
  <c r="AD8" i="15"/>
  <c r="AB8" i="15"/>
  <c r="AB53" i="15" s="1"/>
  <c r="AB71" i="15" s="1"/>
  <c r="AA8" i="15"/>
  <c r="Z8" i="15"/>
  <c r="X8" i="15"/>
  <c r="V8" i="15"/>
  <c r="U8" i="15"/>
  <c r="T8" i="15"/>
  <c r="T53" i="15" s="1"/>
  <c r="T71" i="15" s="1"/>
  <c r="R8" i="15"/>
  <c r="P8" i="15"/>
  <c r="O8" i="15"/>
  <c r="N8" i="15"/>
  <c r="L8" i="15"/>
  <c r="J8" i="15"/>
  <c r="I8" i="15"/>
  <c r="H8" i="15"/>
  <c r="BI7" i="15"/>
  <c r="BH7" i="15"/>
  <c r="BG7" i="15"/>
  <c r="BF7" i="15"/>
  <c r="BE7" i="15"/>
  <c r="BD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A7" i="15"/>
  <c r="A3" i="15"/>
  <c r="A2" i="15"/>
  <c r="V50" i="18"/>
  <c r="AF44" i="18"/>
  <c r="AD44" i="18"/>
  <c r="AB44" i="18"/>
  <c r="Z44" i="18"/>
  <c r="X44" i="18"/>
  <c r="V44" i="18"/>
  <c r="T44" i="18"/>
  <c r="R44" i="18"/>
  <c r="P44" i="18"/>
  <c r="N44" i="18"/>
  <c r="L44" i="18"/>
  <c r="J44" i="18"/>
  <c r="C44" i="18"/>
  <c r="C76" i="14" s="1"/>
  <c r="L43" i="18"/>
  <c r="AG36" i="18"/>
  <c r="AE36" i="18"/>
  <c r="AC36" i="18"/>
  <c r="AA36" i="18"/>
  <c r="Y36" i="18"/>
  <c r="W36" i="18"/>
  <c r="U36" i="18"/>
  <c r="S36" i="18"/>
  <c r="Q36" i="18"/>
  <c r="O36" i="18"/>
  <c r="M36" i="18"/>
  <c r="K36" i="18"/>
  <c r="D36" i="18"/>
  <c r="AG34" i="18"/>
  <c r="AE34" i="18"/>
  <c r="AC34" i="18"/>
  <c r="AA34" i="18"/>
  <c r="Y34" i="18"/>
  <c r="W34" i="18"/>
  <c r="U34" i="18"/>
  <c r="S34" i="18"/>
  <c r="Q34" i="18"/>
  <c r="O34" i="18"/>
  <c r="M34" i="18"/>
  <c r="K34" i="18"/>
  <c r="H34" i="18"/>
  <c r="AH34" i="18" s="1"/>
  <c r="D34" i="18"/>
  <c r="AG33" i="18"/>
  <c r="AE33" i="18"/>
  <c r="AC33" i="18"/>
  <c r="AA33" i="18"/>
  <c r="Y33" i="18"/>
  <c r="W33" i="18"/>
  <c r="U33" i="18"/>
  <c r="S33" i="18"/>
  <c r="Q33" i="18"/>
  <c r="O33" i="18"/>
  <c r="M33" i="18"/>
  <c r="K33" i="18"/>
  <c r="H33" i="18"/>
  <c r="E33" i="18" s="1"/>
  <c r="D33" i="18"/>
  <c r="AG32" i="18"/>
  <c r="AE32" i="18"/>
  <c r="AC32" i="18"/>
  <c r="AA32" i="18"/>
  <c r="Y32" i="18"/>
  <c r="W32" i="18"/>
  <c r="U32" i="18"/>
  <c r="S32" i="18"/>
  <c r="Q32" i="18"/>
  <c r="O32" i="18"/>
  <c r="M32" i="18"/>
  <c r="K32" i="18"/>
  <c r="H32" i="18"/>
  <c r="AH32" i="18" s="1"/>
  <c r="E32" i="18"/>
  <c r="D32" i="18"/>
  <c r="AG31" i="18"/>
  <c r="AF31" i="18"/>
  <c r="AF50" i="18" s="1"/>
  <c r="AE31" i="18"/>
  <c r="AD31" i="18"/>
  <c r="AD50" i="18" s="1"/>
  <c r="AC31" i="18"/>
  <c r="AB31" i="18"/>
  <c r="AB50" i="18" s="1"/>
  <c r="AA31" i="18"/>
  <c r="Z31" i="18"/>
  <c r="Z50" i="18" s="1"/>
  <c r="Y31" i="18"/>
  <c r="X31" i="18"/>
  <c r="X50" i="18" s="1"/>
  <c r="W31" i="18"/>
  <c r="V31" i="18"/>
  <c r="U31" i="18"/>
  <c r="T31" i="18"/>
  <c r="T50" i="18" s="1"/>
  <c r="S31" i="18"/>
  <c r="R31" i="18"/>
  <c r="R50" i="18" s="1"/>
  <c r="Q31" i="18"/>
  <c r="P31" i="18"/>
  <c r="P50" i="18" s="1"/>
  <c r="O31" i="18"/>
  <c r="N31" i="18"/>
  <c r="N50" i="18" s="1"/>
  <c r="M31" i="18"/>
  <c r="L31" i="18"/>
  <c r="L50" i="18" s="1"/>
  <c r="K31" i="18"/>
  <c r="J31" i="18"/>
  <c r="J50" i="18" s="1"/>
  <c r="D31" i="18"/>
  <c r="C31" i="18"/>
  <c r="C50" i="18" s="1"/>
  <c r="L30" i="18"/>
  <c r="AG29" i="18"/>
  <c r="AE29" i="18"/>
  <c r="AC29" i="18"/>
  <c r="AA29" i="18"/>
  <c r="Y29" i="18"/>
  <c r="W29" i="18"/>
  <c r="U29" i="18"/>
  <c r="S29" i="18"/>
  <c r="Q29" i="18"/>
  <c r="O29" i="18"/>
  <c r="M29" i="18"/>
  <c r="K29" i="18"/>
  <c r="D29" i="18"/>
  <c r="AG28" i="18"/>
  <c r="AE28" i="18"/>
  <c r="AC28" i="18"/>
  <c r="AA28" i="18"/>
  <c r="Y28" i="18"/>
  <c r="W28" i="18"/>
  <c r="U28" i="18"/>
  <c r="S28" i="18"/>
  <c r="Q28" i="18"/>
  <c r="O28" i="18"/>
  <c r="M28" i="18"/>
  <c r="K28" i="18"/>
  <c r="D28" i="18"/>
  <c r="AG27" i="18"/>
  <c r="AE27" i="18"/>
  <c r="AC27" i="18"/>
  <c r="AA27" i="18"/>
  <c r="Y27" i="18"/>
  <c r="W27" i="18"/>
  <c r="U27" i="18"/>
  <c r="S27" i="18"/>
  <c r="Q27" i="18"/>
  <c r="O27" i="18"/>
  <c r="M27" i="18"/>
  <c r="K27" i="18"/>
  <c r="D27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D26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D25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D24" i="18"/>
  <c r="AF23" i="18"/>
  <c r="AD23" i="18"/>
  <c r="AB23" i="18"/>
  <c r="Z23" i="18"/>
  <c r="X23" i="18"/>
  <c r="V23" i="18"/>
  <c r="T23" i="18"/>
  <c r="R23" i="18"/>
  <c r="P23" i="18"/>
  <c r="N23" i="18"/>
  <c r="L23" i="18"/>
  <c r="J23" i="18"/>
  <c r="C23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D22" i="18"/>
  <c r="AF21" i="18"/>
  <c r="AD21" i="18"/>
  <c r="AB21" i="18"/>
  <c r="Z21" i="18"/>
  <c r="X21" i="18"/>
  <c r="V21" i="18"/>
  <c r="T21" i="18"/>
  <c r="R21" i="18"/>
  <c r="P21" i="18"/>
  <c r="N21" i="18"/>
  <c r="L21" i="18"/>
  <c r="J21" i="18"/>
  <c r="C21" i="18"/>
  <c r="AG20" i="18"/>
  <c r="AF20" i="18"/>
  <c r="AE20" i="18"/>
  <c r="AD20" i="18"/>
  <c r="AC20" i="18"/>
  <c r="AB20" i="18"/>
  <c r="AA20" i="18"/>
  <c r="Z20" i="18"/>
  <c r="Y20" i="18"/>
  <c r="X20" i="18"/>
  <c r="H20" i="18" s="1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D20" i="18"/>
  <c r="AG19" i="18"/>
  <c r="AE19" i="18"/>
  <c r="AC19" i="18"/>
  <c r="AA19" i="18"/>
  <c r="Y19" i="18"/>
  <c r="W19" i="18"/>
  <c r="U19" i="18"/>
  <c r="S19" i="18"/>
  <c r="Q19" i="18"/>
  <c r="O19" i="18"/>
  <c r="M19" i="18"/>
  <c r="K19" i="18"/>
  <c r="D19" i="18"/>
  <c r="C19" i="18"/>
  <c r="C46" i="18" s="1"/>
  <c r="AF18" i="18"/>
  <c r="AD18" i="18"/>
  <c r="AB18" i="18"/>
  <c r="Z18" i="18"/>
  <c r="X18" i="18"/>
  <c r="V18" i="18"/>
  <c r="T18" i="18"/>
  <c r="R18" i="18"/>
  <c r="P18" i="18"/>
  <c r="N18" i="18"/>
  <c r="L18" i="18"/>
  <c r="J18" i="18"/>
  <c r="C18" i="18"/>
  <c r="AG17" i="18"/>
  <c r="AE17" i="18"/>
  <c r="AD17" i="18"/>
  <c r="AC17" i="18"/>
  <c r="AA17" i="18"/>
  <c r="Y17" i="18"/>
  <c r="W17" i="18"/>
  <c r="U17" i="18"/>
  <c r="S17" i="18"/>
  <c r="R17" i="18"/>
  <c r="Q17" i="18"/>
  <c r="O17" i="18"/>
  <c r="M17" i="18"/>
  <c r="K17" i="18"/>
  <c r="D17" i="18"/>
  <c r="AG16" i="18"/>
  <c r="AE16" i="18"/>
  <c r="AC16" i="18"/>
  <c r="AA16" i="18"/>
  <c r="Y16" i="18"/>
  <c r="W16" i="18"/>
  <c r="U16" i="18"/>
  <c r="S16" i="18"/>
  <c r="Q16" i="18"/>
  <c r="O16" i="18"/>
  <c r="M16" i="18"/>
  <c r="K16" i="18"/>
  <c r="H16" i="18"/>
  <c r="AH16" i="18" s="1"/>
  <c r="E16" i="18"/>
  <c r="D16" i="18"/>
  <c r="AG15" i="18"/>
  <c r="AE15" i="18"/>
  <c r="AC15" i="18"/>
  <c r="AA15" i="18"/>
  <c r="Y15" i="18"/>
  <c r="W15" i="18"/>
  <c r="U15" i="18"/>
  <c r="S15" i="18"/>
  <c r="Q15" i="18"/>
  <c r="O15" i="18"/>
  <c r="M15" i="18"/>
  <c r="K15" i="18"/>
  <c r="H15" i="18"/>
  <c r="D15" i="18"/>
  <c r="AG14" i="18"/>
  <c r="AE14" i="18"/>
  <c r="AC14" i="18"/>
  <c r="AA14" i="18"/>
  <c r="Y14" i="18"/>
  <c r="W14" i="18"/>
  <c r="U14" i="18"/>
  <c r="S14" i="18"/>
  <c r="Q14" i="18"/>
  <c r="O14" i="18"/>
  <c r="M14" i="18"/>
  <c r="K14" i="18"/>
  <c r="H14" i="18"/>
  <c r="AH14" i="18" s="1"/>
  <c r="D14" i="18"/>
  <c r="AH13" i="18"/>
  <c r="AG13" i="18"/>
  <c r="AE13" i="18"/>
  <c r="AC13" i="18"/>
  <c r="AA13" i="18"/>
  <c r="Y13" i="18"/>
  <c r="W13" i="18"/>
  <c r="U13" i="18"/>
  <c r="S13" i="18"/>
  <c r="Q13" i="18"/>
  <c r="O13" i="18"/>
  <c r="M13" i="18"/>
  <c r="K13" i="18"/>
  <c r="H13" i="18"/>
  <c r="E13" i="18" s="1"/>
  <c r="D13" i="18"/>
  <c r="AG12" i="18"/>
  <c r="AE12" i="18"/>
  <c r="AC12" i="18"/>
  <c r="AA12" i="18"/>
  <c r="Y12" i="18"/>
  <c r="W12" i="18"/>
  <c r="U12" i="18"/>
  <c r="S12" i="18"/>
  <c r="Q12" i="18"/>
  <c r="O12" i="18"/>
  <c r="M12" i="18"/>
  <c r="K12" i="18"/>
  <c r="H12" i="18"/>
  <c r="H44" i="18" s="1"/>
  <c r="D12" i="18"/>
  <c r="AG11" i="18"/>
  <c r="AE11" i="18"/>
  <c r="AC11" i="18"/>
  <c r="AA11" i="18"/>
  <c r="Y11" i="18"/>
  <c r="W11" i="18"/>
  <c r="U11" i="18"/>
  <c r="S11" i="18"/>
  <c r="Q11" i="18"/>
  <c r="O11" i="18"/>
  <c r="M11" i="18"/>
  <c r="K11" i="18"/>
  <c r="H11" i="18"/>
  <c r="E11" i="18" s="1"/>
  <c r="D11" i="18"/>
  <c r="AG10" i="18"/>
  <c r="AE10" i="18"/>
  <c r="AC10" i="18"/>
  <c r="AA10" i="18"/>
  <c r="Y10" i="18"/>
  <c r="W10" i="18"/>
  <c r="U10" i="18"/>
  <c r="S10" i="18"/>
  <c r="Q10" i="18"/>
  <c r="O10" i="18"/>
  <c r="M10" i="18"/>
  <c r="K10" i="18"/>
  <c r="H10" i="18"/>
  <c r="D10" i="18"/>
  <c r="AH9" i="18"/>
  <c r="AG9" i="18"/>
  <c r="AE9" i="18"/>
  <c r="AC9" i="18"/>
  <c r="AA9" i="18"/>
  <c r="Y9" i="18"/>
  <c r="W9" i="18"/>
  <c r="U9" i="18"/>
  <c r="S9" i="18"/>
  <c r="Q9" i="18"/>
  <c r="O9" i="18"/>
  <c r="M9" i="18"/>
  <c r="K9" i="18"/>
  <c r="H9" i="18"/>
  <c r="H21" i="18" s="1"/>
  <c r="E21" i="18" s="1"/>
  <c r="D9" i="18"/>
  <c r="AG8" i="18"/>
  <c r="AF8" i="18"/>
  <c r="AF17" i="18" s="1"/>
  <c r="AE8" i="18"/>
  <c r="AD8" i="18"/>
  <c r="AC8" i="18"/>
  <c r="AB8" i="18"/>
  <c r="AA8" i="18"/>
  <c r="Z8" i="18"/>
  <c r="Y8" i="18"/>
  <c r="X8" i="18"/>
  <c r="X30" i="18" s="1"/>
  <c r="W8" i="18"/>
  <c r="V8" i="18"/>
  <c r="U8" i="18"/>
  <c r="T8" i="18"/>
  <c r="T17" i="18" s="1"/>
  <c r="S8" i="18"/>
  <c r="R8" i="18"/>
  <c r="Q8" i="18"/>
  <c r="P8" i="18"/>
  <c r="O8" i="18"/>
  <c r="N8" i="18"/>
  <c r="M8" i="18"/>
  <c r="L8" i="18"/>
  <c r="K8" i="18"/>
  <c r="J8" i="18"/>
  <c r="D8" i="18"/>
  <c r="C8" i="18"/>
  <c r="H7" i="18"/>
  <c r="I32" i="18" s="1"/>
  <c r="A3" i="18"/>
  <c r="A2" i="18"/>
  <c r="F107" i="9"/>
  <c r="O103" i="9"/>
  <c r="P100" i="9"/>
  <c r="K97" i="9"/>
  <c r="F97" i="9"/>
  <c r="F87" i="9"/>
  <c r="E87" i="9" s="1"/>
  <c r="E116" i="9" s="1"/>
  <c r="C71" i="14" s="1"/>
  <c r="E84" i="9"/>
  <c r="E83" i="9"/>
  <c r="E82" i="9"/>
  <c r="R79" i="9"/>
  <c r="E79" i="9"/>
  <c r="E78" i="9"/>
  <c r="R78" i="9" s="1"/>
  <c r="E77" i="9"/>
  <c r="R77" i="9" s="1"/>
  <c r="E76" i="9"/>
  <c r="R76" i="9" s="1"/>
  <c r="E75" i="9"/>
  <c r="R75" i="9" s="1"/>
  <c r="E74" i="9"/>
  <c r="R74" i="9" s="1"/>
  <c r="E73" i="9"/>
  <c r="R73" i="9" s="1"/>
  <c r="R72" i="9"/>
  <c r="E72" i="9"/>
  <c r="E71" i="9"/>
  <c r="R71" i="9" s="1"/>
  <c r="E70" i="9"/>
  <c r="R70" i="9" s="1"/>
  <c r="E69" i="9"/>
  <c r="R69" i="9" s="1"/>
  <c r="E68" i="9"/>
  <c r="R68" i="9" s="1"/>
  <c r="E67" i="9"/>
  <c r="R67" i="9" s="1"/>
  <c r="R66" i="9"/>
  <c r="E66" i="9"/>
  <c r="E65" i="9"/>
  <c r="R65" i="9" s="1"/>
  <c r="E59" i="9"/>
  <c r="E107" i="9" s="1"/>
  <c r="C62" i="14" s="1"/>
  <c r="R57" i="9"/>
  <c r="E57" i="9"/>
  <c r="C57" i="9"/>
  <c r="Q55" i="9"/>
  <c r="P55" i="9"/>
  <c r="P103" i="9" s="1"/>
  <c r="O55" i="9"/>
  <c r="N55" i="9"/>
  <c r="N103" i="9" s="1"/>
  <c r="M55" i="9"/>
  <c r="M103" i="9" s="1"/>
  <c r="L55" i="9"/>
  <c r="L103" i="9" s="1"/>
  <c r="K55" i="9"/>
  <c r="J55" i="9"/>
  <c r="J103" i="9" s="1"/>
  <c r="I55" i="9"/>
  <c r="I103" i="9" s="1"/>
  <c r="H55" i="9"/>
  <c r="H103" i="9" s="1"/>
  <c r="G55" i="9"/>
  <c r="G103" i="9" s="1"/>
  <c r="F55" i="9"/>
  <c r="F103" i="9" s="1"/>
  <c r="E54" i="9"/>
  <c r="C54" i="9" s="1"/>
  <c r="R53" i="9"/>
  <c r="E53" i="9"/>
  <c r="C53" i="9"/>
  <c r="E52" i="9"/>
  <c r="C52" i="9" s="1"/>
  <c r="E51" i="9"/>
  <c r="C51" i="9" s="1"/>
  <c r="Q50" i="9"/>
  <c r="Q102" i="9" s="1"/>
  <c r="P50" i="9"/>
  <c r="O50" i="9"/>
  <c r="O56" i="9" s="1"/>
  <c r="N50" i="9"/>
  <c r="N102" i="9" s="1"/>
  <c r="M50" i="9"/>
  <c r="L50" i="9"/>
  <c r="K50" i="9"/>
  <c r="K102" i="9" s="1"/>
  <c r="J50" i="9"/>
  <c r="I50" i="9"/>
  <c r="I56" i="9" s="1"/>
  <c r="H50" i="9"/>
  <c r="G50" i="9"/>
  <c r="G102" i="9" s="1"/>
  <c r="F50" i="9"/>
  <c r="F102" i="9" s="1"/>
  <c r="E49" i="9"/>
  <c r="C49" i="9" s="1"/>
  <c r="E48" i="9"/>
  <c r="R48" i="9" s="1"/>
  <c r="E47" i="9"/>
  <c r="R47" i="9" s="1"/>
  <c r="E46" i="9"/>
  <c r="C46" i="9" s="1"/>
  <c r="E45" i="9"/>
  <c r="R45" i="9" s="1"/>
  <c r="C45" i="9"/>
  <c r="C44" i="9"/>
  <c r="Q42" i="9"/>
  <c r="Q100" i="9" s="1"/>
  <c r="P42" i="9"/>
  <c r="O42" i="9"/>
  <c r="O100" i="9" s="1"/>
  <c r="N42" i="9"/>
  <c r="N100" i="9" s="1"/>
  <c r="M42" i="9"/>
  <c r="M100" i="9" s="1"/>
  <c r="L42" i="9"/>
  <c r="L100" i="9" s="1"/>
  <c r="K42" i="9"/>
  <c r="K100" i="9" s="1"/>
  <c r="J42" i="9"/>
  <c r="J100" i="9" s="1"/>
  <c r="I42" i="9"/>
  <c r="I100" i="9" s="1"/>
  <c r="H42" i="9"/>
  <c r="H100" i="9" s="1"/>
  <c r="G42" i="9"/>
  <c r="G100" i="9" s="1"/>
  <c r="F42" i="9"/>
  <c r="E41" i="9"/>
  <c r="R41" i="9" s="1"/>
  <c r="E40" i="9"/>
  <c r="R40" i="9" s="1"/>
  <c r="E39" i="9"/>
  <c r="C39" i="9" s="1"/>
  <c r="E38" i="9"/>
  <c r="C38" i="9" s="1"/>
  <c r="Q37" i="9"/>
  <c r="P37" i="9"/>
  <c r="P99" i="9" s="1"/>
  <c r="O37" i="9"/>
  <c r="O99" i="9" s="1"/>
  <c r="N37" i="9"/>
  <c r="N99" i="9" s="1"/>
  <c r="M37" i="9"/>
  <c r="M99" i="9" s="1"/>
  <c r="L37" i="9"/>
  <c r="L99" i="9" s="1"/>
  <c r="K37" i="9"/>
  <c r="J37" i="9"/>
  <c r="I37" i="9"/>
  <c r="I99" i="9" s="1"/>
  <c r="H37" i="9"/>
  <c r="G37" i="9"/>
  <c r="F37" i="9"/>
  <c r="F99" i="9" s="1"/>
  <c r="E36" i="9"/>
  <c r="C36" i="9" s="1"/>
  <c r="E35" i="9"/>
  <c r="C35" i="9" s="1"/>
  <c r="E34" i="9"/>
  <c r="R34" i="9" s="1"/>
  <c r="E33" i="9"/>
  <c r="C33" i="9" s="1"/>
  <c r="E32" i="9"/>
  <c r="C32" i="9" s="1"/>
  <c r="C31" i="9"/>
  <c r="E28" i="9"/>
  <c r="C28" i="9" s="1"/>
  <c r="E27" i="9"/>
  <c r="E26" i="9"/>
  <c r="E25" i="9"/>
  <c r="C25" i="9" s="1"/>
  <c r="E24" i="9"/>
  <c r="R24" i="9" s="1"/>
  <c r="E23" i="9"/>
  <c r="R23" i="9" s="1"/>
  <c r="E22" i="9"/>
  <c r="C22" i="9" s="1"/>
  <c r="E21" i="9"/>
  <c r="C21" i="9" s="1"/>
  <c r="E20" i="9"/>
  <c r="R20" i="9" s="1"/>
  <c r="E19" i="9"/>
  <c r="C19" i="9" s="1"/>
  <c r="E18" i="9"/>
  <c r="C18" i="9" s="1"/>
  <c r="E17" i="9"/>
  <c r="R17" i="9" s="1"/>
  <c r="Q16" i="9"/>
  <c r="Q98" i="9" s="1"/>
  <c r="P16" i="9"/>
  <c r="P98" i="9" s="1"/>
  <c r="O16" i="9"/>
  <c r="O98" i="9" s="1"/>
  <c r="N16" i="9"/>
  <c r="N98" i="9" s="1"/>
  <c r="M16" i="9"/>
  <c r="M98" i="9" s="1"/>
  <c r="L16" i="9"/>
  <c r="K16" i="9"/>
  <c r="K98" i="9" s="1"/>
  <c r="J16" i="9"/>
  <c r="J98" i="9" s="1"/>
  <c r="I16" i="9"/>
  <c r="I98" i="9" s="1"/>
  <c r="H16" i="9"/>
  <c r="H98" i="9" s="1"/>
  <c r="G16" i="9"/>
  <c r="G98" i="9" s="1"/>
  <c r="F16" i="9"/>
  <c r="B16" i="9"/>
  <c r="E14" i="9"/>
  <c r="E13" i="9"/>
  <c r="R13" i="9" s="1"/>
  <c r="C13" i="9"/>
  <c r="E12" i="9"/>
  <c r="C12" i="9" s="1"/>
  <c r="E11" i="9"/>
  <c r="C11" i="9" s="1"/>
  <c r="E10" i="9"/>
  <c r="R10" i="9" s="1"/>
  <c r="E9" i="9"/>
  <c r="C9" i="9" s="1"/>
  <c r="E8" i="9"/>
  <c r="C8" i="9" s="1"/>
  <c r="Q7" i="9"/>
  <c r="Q97" i="9" s="1"/>
  <c r="P7" i="9"/>
  <c r="O7" i="9"/>
  <c r="O15" i="9" s="1"/>
  <c r="N7" i="9"/>
  <c r="N97" i="9" s="1"/>
  <c r="M7" i="9"/>
  <c r="M15" i="9" s="1"/>
  <c r="L7" i="9"/>
  <c r="L97" i="9" s="1"/>
  <c r="K7" i="9"/>
  <c r="K15" i="9" s="1"/>
  <c r="J7" i="9"/>
  <c r="I7" i="9"/>
  <c r="H7" i="9"/>
  <c r="H97" i="9" s="1"/>
  <c r="G7" i="9"/>
  <c r="G97" i="9" s="1"/>
  <c r="F7" i="9"/>
  <c r="F15" i="9" s="1"/>
  <c r="F94" i="9" s="1"/>
  <c r="B7" i="9"/>
  <c r="C6" i="9"/>
  <c r="A3" i="9"/>
  <c r="D54" i="9" s="1"/>
  <c r="A2" i="9"/>
  <c r="Q74" i="7"/>
  <c r="P74" i="7"/>
  <c r="O74" i="7"/>
  <c r="N74" i="7"/>
  <c r="M74" i="7"/>
  <c r="L74" i="7"/>
  <c r="K74" i="7"/>
  <c r="J74" i="7"/>
  <c r="I74" i="7"/>
  <c r="H74" i="7"/>
  <c r="G74" i="7"/>
  <c r="F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B73" i="7"/>
  <c r="O72" i="7"/>
  <c r="Q66" i="7"/>
  <c r="P64" i="7"/>
  <c r="F63" i="7"/>
  <c r="R60" i="7"/>
  <c r="R59" i="7"/>
  <c r="R58" i="7"/>
  <c r="Q57" i="7"/>
  <c r="P57" i="7"/>
  <c r="O57" i="7"/>
  <c r="N57" i="7"/>
  <c r="M57" i="7"/>
  <c r="L57" i="7"/>
  <c r="K57" i="7"/>
  <c r="J57" i="7"/>
  <c r="I57" i="7"/>
  <c r="H57" i="7"/>
  <c r="G57" i="7"/>
  <c r="F57" i="7"/>
  <c r="B57" i="7"/>
  <c r="E54" i="7"/>
  <c r="R54" i="7" s="1"/>
  <c r="C54" i="7"/>
  <c r="E53" i="7"/>
  <c r="C53" i="7" s="1"/>
  <c r="E52" i="7"/>
  <c r="R52" i="7" s="1"/>
  <c r="C52" i="7"/>
  <c r="E51" i="7"/>
  <c r="R51" i="7" s="1"/>
  <c r="C51" i="7"/>
  <c r="E50" i="7"/>
  <c r="C50" i="7" s="1"/>
  <c r="R49" i="7"/>
  <c r="E49" i="7"/>
  <c r="C49" i="7" s="1"/>
  <c r="R48" i="7"/>
  <c r="E48" i="7"/>
  <c r="C48" i="7"/>
  <c r="E47" i="7"/>
  <c r="C47" i="7" s="1"/>
  <c r="R46" i="7"/>
  <c r="E46" i="7"/>
  <c r="C46" i="7" s="1"/>
  <c r="E45" i="7"/>
  <c r="R45" i="7" s="1"/>
  <c r="R44" i="7"/>
  <c r="E44" i="7"/>
  <c r="C44" i="7"/>
  <c r="E43" i="7"/>
  <c r="C43" i="7" s="1"/>
  <c r="Q42" i="7"/>
  <c r="Q72" i="7" s="1"/>
  <c r="P42" i="7"/>
  <c r="O42" i="7"/>
  <c r="N42" i="7"/>
  <c r="N72" i="7" s="1"/>
  <c r="M42" i="7"/>
  <c r="L42" i="7"/>
  <c r="L72" i="7" s="1"/>
  <c r="K42" i="7"/>
  <c r="K72" i="7" s="1"/>
  <c r="J42" i="7"/>
  <c r="J72" i="7" s="1"/>
  <c r="I42" i="7"/>
  <c r="I72" i="7" s="1"/>
  <c r="H42" i="7"/>
  <c r="H72" i="7" s="1"/>
  <c r="G42" i="7"/>
  <c r="F42" i="7"/>
  <c r="F72" i="7" s="1"/>
  <c r="B42" i="7"/>
  <c r="B72" i="7" s="1"/>
  <c r="E41" i="7"/>
  <c r="R41" i="7" s="1"/>
  <c r="R39" i="7"/>
  <c r="E39" i="7"/>
  <c r="C39" i="7" s="1"/>
  <c r="E36" i="7"/>
  <c r="C36" i="7" s="1"/>
  <c r="E34" i="7"/>
  <c r="C34" i="7" s="1"/>
  <c r="E33" i="7"/>
  <c r="R33" i="7" s="1"/>
  <c r="E31" i="7"/>
  <c r="C31" i="7" s="1"/>
  <c r="E30" i="7"/>
  <c r="R30" i="7" s="1"/>
  <c r="E29" i="7"/>
  <c r="R29" i="7" s="1"/>
  <c r="E28" i="7"/>
  <c r="C28" i="7" s="1"/>
  <c r="E27" i="7"/>
  <c r="R27" i="7" s="1"/>
  <c r="E26" i="7"/>
  <c r="C26" i="7" s="1"/>
  <c r="E25" i="7"/>
  <c r="C25" i="7" s="1"/>
  <c r="E24" i="7"/>
  <c r="L18" i="19" s="1"/>
  <c r="C109" i="14" s="1"/>
  <c r="E23" i="7"/>
  <c r="E22" i="7"/>
  <c r="E21" i="7"/>
  <c r="E20" i="7"/>
  <c r="E19" i="7"/>
  <c r="C19" i="7" s="1"/>
  <c r="E18" i="7"/>
  <c r="R18" i="7" s="1"/>
  <c r="E17" i="7"/>
  <c r="R17" i="7" s="1"/>
  <c r="E16" i="7"/>
  <c r="C16" i="7" s="1"/>
  <c r="E15" i="7"/>
  <c r="R15" i="7" s="1"/>
  <c r="Q14" i="7"/>
  <c r="P14" i="7"/>
  <c r="P13" i="7" s="1"/>
  <c r="P65" i="7" s="1"/>
  <c r="O14" i="7"/>
  <c r="O13" i="7" s="1"/>
  <c r="O65" i="7" s="1"/>
  <c r="N14" i="7"/>
  <c r="N66" i="7" s="1"/>
  <c r="M14" i="7"/>
  <c r="M66" i="7" s="1"/>
  <c r="L14" i="7"/>
  <c r="L66" i="7" s="1"/>
  <c r="K14" i="7"/>
  <c r="K13" i="7" s="1"/>
  <c r="K65" i="7" s="1"/>
  <c r="J14" i="7"/>
  <c r="J66" i="7" s="1"/>
  <c r="I14" i="7"/>
  <c r="I66" i="7" s="1"/>
  <c r="H14" i="7"/>
  <c r="H66" i="7" s="1"/>
  <c r="G14" i="7"/>
  <c r="G66" i="7" s="1"/>
  <c r="F14" i="7"/>
  <c r="F13" i="7" s="1"/>
  <c r="B14" i="7"/>
  <c r="B66" i="7" s="1"/>
  <c r="Q13" i="7"/>
  <c r="Q65" i="7" s="1"/>
  <c r="M13" i="7"/>
  <c r="M65" i="7" s="1"/>
  <c r="G13" i="7"/>
  <c r="G65" i="7" s="1"/>
  <c r="E12" i="7"/>
  <c r="C12" i="7" s="1"/>
  <c r="E11" i="7"/>
  <c r="R11" i="7" s="1"/>
  <c r="E10" i="7"/>
  <c r="R10" i="7" s="1"/>
  <c r="E9" i="7"/>
  <c r="C9" i="7" s="1"/>
  <c r="E8" i="7"/>
  <c r="R8" i="7" s="1"/>
  <c r="Q7" i="7"/>
  <c r="Q64" i="7" s="1"/>
  <c r="P7" i="7"/>
  <c r="P6" i="7" s="1"/>
  <c r="O7" i="7"/>
  <c r="O64" i="7" s="1"/>
  <c r="N7" i="7"/>
  <c r="N64" i="7" s="1"/>
  <c r="M7" i="7"/>
  <c r="M64" i="7" s="1"/>
  <c r="L7" i="7"/>
  <c r="L64" i="7" s="1"/>
  <c r="K7" i="7"/>
  <c r="K64" i="7" s="1"/>
  <c r="J7" i="7"/>
  <c r="J6" i="7" s="1"/>
  <c r="I7" i="7"/>
  <c r="I6" i="7" s="1"/>
  <c r="H7" i="7"/>
  <c r="H64" i="7" s="1"/>
  <c r="G7" i="7"/>
  <c r="G64" i="7" s="1"/>
  <c r="F7" i="7"/>
  <c r="F64" i="7" s="1"/>
  <c r="B7" i="7"/>
  <c r="B6" i="7" s="1"/>
  <c r="F6" i="7"/>
  <c r="A3" i="7"/>
  <c r="D60" i="7" s="1"/>
  <c r="A2" i="7"/>
  <c r="C80" i="1"/>
  <c r="D18" i="14" s="1"/>
  <c r="B80" i="1"/>
  <c r="C18" i="14" s="1"/>
  <c r="C73" i="1"/>
  <c r="C75" i="1" s="1"/>
  <c r="B73" i="1"/>
  <c r="B75" i="1" s="1"/>
  <c r="B87" i="1" s="1"/>
  <c r="C25" i="14" s="1"/>
  <c r="C61" i="1"/>
  <c r="C84" i="1" s="1"/>
  <c r="D22" i="14" s="1"/>
  <c r="B61" i="1"/>
  <c r="B84" i="1" s="1"/>
  <c r="C22" i="14" s="1"/>
  <c r="C50" i="1"/>
  <c r="C83" i="1" s="1"/>
  <c r="D21" i="14" s="1"/>
  <c r="B50" i="1"/>
  <c r="B83" i="1" s="1"/>
  <c r="C21" i="14" s="1"/>
  <c r="C36" i="1"/>
  <c r="C81" i="1" s="1"/>
  <c r="D19" i="14" s="1"/>
  <c r="B36" i="1"/>
  <c r="B81" i="1" s="1"/>
  <c r="C19" i="14" s="1"/>
  <c r="C19" i="1"/>
  <c r="C79" i="1" s="1"/>
  <c r="D17" i="14" s="1"/>
  <c r="B19" i="1"/>
  <c r="B79" i="1" s="1"/>
  <c r="C17" i="14" s="1"/>
  <c r="A3" i="1"/>
  <c r="A2" i="1"/>
  <c r="C115" i="14"/>
  <c r="C114" i="14"/>
  <c r="C113" i="14"/>
  <c r="C82" i="14"/>
  <c r="C78" i="14"/>
  <c r="D29" i="14"/>
  <c r="D28" i="14"/>
  <c r="D30" i="23" l="1"/>
  <c r="R51" i="9"/>
  <c r="E36" i="15"/>
  <c r="BJ36" i="15" s="1"/>
  <c r="K66" i="7"/>
  <c r="R12" i="7"/>
  <c r="K6" i="7"/>
  <c r="K63" i="7" s="1"/>
  <c r="C23" i="9"/>
  <c r="C27" i="7"/>
  <c r="S49" i="15"/>
  <c r="S70" i="15" s="1"/>
  <c r="BI49" i="15"/>
  <c r="BI70" i="15" s="1"/>
  <c r="H31" i="18"/>
  <c r="AZ8" i="15"/>
  <c r="Y24" i="15"/>
  <c r="Y66" i="15" s="1"/>
  <c r="AQ24" i="15"/>
  <c r="AQ66" i="15" s="1"/>
  <c r="AO37" i="15"/>
  <c r="AO68" i="15" s="1"/>
  <c r="BB37" i="15"/>
  <c r="BB68" i="15" s="1"/>
  <c r="BC40" i="15"/>
  <c r="J55" i="25"/>
  <c r="D55" i="25" s="1"/>
  <c r="M6" i="7"/>
  <c r="M63" i="7" s="1"/>
  <c r="L13" i="7"/>
  <c r="L65" i="7" s="1"/>
  <c r="P66" i="7"/>
  <c r="B92" i="1"/>
  <c r="C30" i="14" s="1"/>
  <c r="G6" i="7"/>
  <c r="G32" i="7" s="1"/>
  <c r="Q6" i="7"/>
  <c r="Q63" i="7" s="1"/>
  <c r="C10" i="9"/>
  <c r="R11" i="9"/>
  <c r="L15" i="9"/>
  <c r="G29" i="9"/>
  <c r="G95" i="9" s="1"/>
  <c r="C34" i="9"/>
  <c r="R35" i="9"/>
  <c r="G43" i="9"/>
  <c r="R38" i="9"/>
  <c r="C41" i="9"/>
  <c r="L56" i="9"/>
  <c r="G34" i="18"/>
  <c r="I9" i="18"/>
  <c r="I10" i="18"/>
  <c r="E12" i="18"/>
  <c r="L17" i="18"/>
  <c r="L45" i="18" s="1"/>
  <c r="X17" i="18"/>
  <c r="X45" i="18" s="1"/>
  <c r="E34" i="18"/>
  <c r="X43" i="18"/>
  <c r="AT53" i="15"/>
  <c r="AT71" i="15" s="1"/>
  <c r="BA11" i="15"/>
  <c r="BA12" i="15"/>
  <c r="BA13" i="15"/>
  <c r="AE24" i="15"/>
  <c r="AE66" i="15" s="1"/>
  <c r="AW24" i="15"/>
  <c r="AW66" i="15" s="1"/>
  <c r="BA27" i="15"/>
  <c r="BC29" i="15"/>
  <c r="C37" i="15"/>
  <c r="C68" i="15" s="1"/>
  <c r="M37" i="15"/>
  <c r="M68" i="15" s="1"/>
  <c r="AW37" i="15"/>
  <c r="AW68" i="15" s="1"/>
  <c r="BA39" i="15"/>
  <c r="Y49" i="15"/>
  <c r="Y70" i="15" s="1"/>
  <c r="T8" i="23"/>
  <c r="I8" i="18"/>
  <c r="T6" i="23"/>
  <c r="R16" i="23"/>
  <c r="S16" i="23" s="1"/>
  <c r="F32" i="23"/>
  <c r="J29" i="23"/>
  <c r="J39" i="23" s="1"/>
  <c r="Q15" i="9"/>
  <c r="Q94" i="9" s="1"/>
  <c r="BG16" i="15"/>
  <c r="BG65" i="15" s="1"/>
  <c r="L6" i="7"/>
  <c r="C41" i="7"/>
  <c r="R43" i="7"/>
  <c r="C45" i="7"/>
  <c r="R53" i="7"/>
  <c r="E57" i="7"/>
  <c r="O66" i="7"/>
  <c r="R12" i="9"/>
  <c r="R36" i="9"/>
  <c r="C40" i="9"/>
  <c r="E42" i="9"/>
  <c r="R46" i="9"/>
  <c r="AH7" i="18"/>
  <c r="R45" i="18"/>
  <c r="AD45" i="18"/>
  <c r="AH12" i="18"/>
  <c r="I17" i="18"/>
  <c r="BA9" i="15"/>
  <c r="AY8" i="15"/>
  <c r="BC15" i="15"/>
  <c r="BC18" i="15"/>
  <c r="BC21" i="15"/>
  <c r="BA23" i="15"/>
  <c r="BG24" i="15"/>
  <c r="BG66" i="15" s="1"/>
  <c r="W24" i="15"/>
  <c r="W66" i="15" s="1"/>
  <c r="AO24" i="15"/>
  <c r="AO66" i="15" s="1"/>
  <c r="BC26" i="15"/>
  <c r="S33" i="15"/>
  <c r="S32" i="15" s="1"/>
  <c r="S67" i="15" s="1"/>
  <c r="BI33" i="15"/>
  <c r="BI32" i="15" s="1"/>
  <c r="BI67" i="15" s="1"/>
  <c r="E35" i="15"/>
  <c r="G35" i="15" s="1"/>
  <c r="BK35" i="15" s="1"/>
  <c r="AY37" i="15"/>
  <c r="AY68" i="15" s="1"/>
  <c r="Y37" i="15"/>
  <c r="Y68" i="15" s="1"/>
  <c r="AQ37" i="15"/>
  <c r="AQ68" i="15" s="1"/>
  <c r="BA40" i="15"/>
  <c r="E42" i="15"/>
  <c r="Q49" i="15"/>
  <c r="Q70" i="15" s="1"/>
  <c r="AI49" i="15"/>
  <c r="AI70" i="15" s="1"/>
  <c r="BG49" i="15"/>
  <c r="BG70" i="15" s="1"/>
  <c r="AK49" i="15"/>
  <c r="AK70" i="15" s="1"/>
  <c r="N6" i="19"/>
  <c r="T20" i="23"/>
  <c r="R25" i="9"/>
  <c r="C24" i="9"/>
  <c r="R21" i="9"/>
  <c r="R28" i="7"/>
  <c r="R26" i="7"/>
  <c r="R19" i="7"/>
  <c r="C18" i="7"/>
  <c r="C17" i="7"/>
  <c r="R16" i="7"/>
  <c r="E14" i="7"/>
  <c r="R14" i="7" s="1"/>
  <c r="C15" i="7"/>
  <c r="C11" i="7"/>
  <c r="C10" i="7"/>
  <c r="R9" i="7"/>
  <c r="I64" i="7"/>
  <c r="C8" i="7"/>
  <c r="Y50" i="25"/>
  <c r="Y62" i="25" s="1"/>
  <c r="Y7" i="25"/>
  <c r="Y59" i="25" s="1"/>
  <c r="R36" i="7"/>
  <c r="R31" i="7"/>
  <c r="C30" i="7"/>
  <c r="C29" i="7"/>
  <c r="AX49" i="15"/>
  <c r="AX70" i="15" s="1"/>
  <c r="G32" i="23"/>
  <c r="M32" i="23"/>
  <c r="I29" i="23"/>
  <c r="I39" i="23" s="1"/>
  <c r="O29" i="23"/>
  <c r="O39" i="23" s="1"/>
  <c r="R25" i="23"/>
  <c r="S25" i="23" s="1"/>
  <c r="I37" i="23"/>
  <c r="R13" i="23"/>
  <c r="S13" i="23" s="1"/>
  <c r="L37" i="23"/>
  <c r="T21" i="23"/>
  <c r="H32" i="23"/>
  <c r="O37" i="23"/>
  <c r="R7" i="23"/>
  <c r="S7" i="23" s="1"/>
  <c r="R10" i="23"/>
  <c r="S10" i="23" s="1"/>
  <c r="T14" i="23"/>
  <c r="K32" i="23"/>
  <c r="R19" i="23"/>
  <c r="S19" i="23" s="1"/>
  <c r="N29" i="23"/>
  <c r="N39" i="23" s="1"/>
  <c r="F37" i="23"/>
  <c r="O46" i="25"/>
  <c r="O61" i="25" s="1"/>
  <c r="O13" i="25"/>
  <c r="O60" i="25" s="1"/>
  <c r="X56" i="25"/>
  <c r="X63" i="25" s="1"/>
  <c r="J49" i="25"/>
  <c r="D49" i="25" s="1"/>
  <c r="J43" i="25"/>
  <c r="D43" i="25" s="1"/>
  <c r="BC50" i="25"/>
  <c r="J48" i="25"/>
  <c r="D48" i="25" s="1"/>
  <c r="J30" i="25"/>
  <c r="D30" i="25" s="1"/>
  <c r="J19" i="25"/>
  <c r="D19" i="25" s="1"/>
  <c r="J42" i="25"/>
  <c r="D42" i="25" s="1"/>
  <c r="J31" i="25"/>
  <c r="D31" i="25" s="1"/>
  <c r="J25" i="25"/>
  <c r="D25" i="25" s="1"/>
  <c r="J32" i="25"/>
  <c r="D32" i="25" s="1"/>
  <c r="AX32" i="15"/>
  <c r="AX67" i="15" s="1"/>
  <c r="F8" i="15"/>
  <c r="BB8" i="15"/>
  <c r="D9" i="15"/>
  <c r="D8" i="15" s="1"/>
  <c r="D64" i="15" s="1"/>
  <c r="C9" i="15"/>
  <c r="E13" i="15"/>
  <c r="G13" i="15" s="1"/>
  <c r="F116" i="9"/>
  <c r="C59" i="9"/>
  <c r="M56" i="9"/>
  <c r="G56" i="9"/>
  <c r="G104" i="9" s="1"/>
  <c r="F56" i="9"/>
  <c r="I104" i="9"/>
  <c r="K29" i="9"/>
  <c r="K95" i="9" s="1"/>
  <c r="H29" i="9"/>
  <c r="H95" i="9" s="1"/>
  <c r="J29" i="9"/>
  <c r="J95" i="9" s="1"/>
  <c r="J19" i="18"/>
  <c r="J46" i="18" s="1"/>
  <c r="C33" i="7"/>
  <c r="P19" i="18"/>
  <c r="P46" i="18" s="1"/>
  <c r="H24" i="18"/>
  <c r="E24" i="18" s="1"/>
  <c r="F32" i="7"/>
  <c r="F67" i="7" s="1"/>
  <c r="BR7" i="25"/>
  <c r="BR59" i="25" s="1"/>
  <c r="BA52" i="15"/>
  <c r="J70" i="15"/>
  <c r="J53" i="15"/>
  <c r="J71" i="15" s="1"/>
  <c r="Q29" i="9"/>
  <c r="Q95" i="9" s="1"/>
  <c r="T18" i="23"/>
  <c r="J54" i="25"/>
  <c r="D54" i="25" s="1"/>
  <c r="J20" i="25"/>
  <c r="D20" i="25" s="1"/>
  <c r="J41" i="25"/>
  <c r="D41" i="25" s="1"/>
  <c r="J26" i="25"/>
  <c r="D26" i="25" s="1"/>
  <c r="J29" i="25"/>
  <c r="D29" i="25" s="1"/>
  <c r="J33" i="25"/>
  <c r="D33" i="25" s="1"/>
  <c r="J39" i="25"/>
  <c r="D39" i="25" s="1"/>
  <c r="J10" i="25"/>
  <c r="D10" i="25" s="1"/>
  <c r="P29" i="9"/>
  <c r="P95" i="9" s="1"/>
  <c r="R26" i="9"/>
  <c r="C27" i="9"/>
  <c r="C14" i="9"/>
  <c r="H22" i="18"/>
  <c r="AH22" i="18" s="1"/>
  <c r="C22" i="7"/>
  <c r="C21" i="7"/>
  <c r="C23" i="7"/>
  <c r="C20" i="7"/>
  <c r="H25" i="18"/>
  <c r="AH25" i="18" s="1"/>
  <c r="AY49" i="15"/>
  <c r="AY70" i="15" s="1"/>
  <c r="D49" i="15"/>
  <c r="D70" i="15" s="1"/>
  <c r="O29" i="9"/>
  <c r="O95" i="9" s="1"/>
  <c r="O102" i="9"/>
  <c r="C24" i="7"/>
  <c r="AB19" i="18"/>
  <c r="AB46" i="18" s="1"/>
  <c r="R20" i="7"/>
  <c r="D26" i="23"/>
  <c r="B50" i="15"/>
  <c r="B49" i="15" s="1"/>
  <c r="K6" i="19"/>
  <c r="E15" i="25"/>
  <c r="J52" i="25"/>
  <c r="D52" i="25" s="1"/>
  <c r="N29" i="9"/>
  <c r="N95" i="9" s="1"/>
  <c r="C26" i="9"/>
  <c r="H26" i="18"/>
  <c r="E26" i="18" s="1"/>
  <c r="R25" i="7"/>
  <c r="AZ49" i="15"/>
  <c r="AZ70" i="15" s="1"/>
  <c r="E29" i="15"/>
  <c r="G29" i="15" s="1"/>
  <c r="T9" i="23"/>
  <c r="J14" i="25"/>
  <c r="D14" i="25" s="1"/>
  <c r="J16" i="25"/>
  <c r="D16" i="25" s="1"/>
  <c r="J15" i="25"/>
  <c r="D15" i="25" s="1"/>
  <c r="J17" i="25"/>
  <c r="D17" i="25" s="1"/>
  <c r="AX7" i="25"/>
  <c r="AX59" i="25" s="1"/>
  <c r="J34" i="25"/>
  <c r="D34" i="25" s="1"/>
  <c r="AX13" i="25"/>
  <c r="M29" i="9"/>
  <c r="M95" i="9" s="1"/>
  <c r="M102" i="9"/>
  <c r="M104" i="9"/>
  <c r="C47" i="9"/>
  <c r="R23" i="7"/>
  <c r="D8" i="23"/>
  <c r="D11" i="23"/>
  <c r="D17" i="23"/>
  <c r="D20" i="23"/>
  <c r="J21" i="25"/>
  <c r="D21" i="25" s="1"/>
  <c r="N7" i="25"/>
  <c r="N59" i="25" s="1"/>
  <c r="J24" i="25"/>
  <c r="D24" i="25" s="1"/>
  <c r="J53" i="25"/>
  <c r="D53" i="25" s="1"/>
  <c r="V19" i="18"/>
  <c r="V46" i="18" s="1"/>
  <c r="E8" i="25"/>
  <c r="AS46" i="25"/>
  <c r="AS61" i="25" s="1"/>
  <c r="J47" i="25"/>
  <c r="D47" i="25" s="1"/>
  <c r="AS13" i="25"/>
  <c r="AS60" i="25" s="1"/>
  <c r="J8" i="25"/>
  <c r="D8" i="25" s="1"/>
  <c r="AS7" i="25"/>
  <c r="AS59" i="25" s="1"/>
  <c r="J18" i="25"/>
  <c r="D18" i="25" s="1"/>
  <c r="J27" i="25"/>
  <c r="D27" i="25" s="1"/>
  <c r="K7" i="25"/>
  <c r="K59" i="25" s="1"/>
  <c r="T31" i="23"/>
  <c r="T26" i="23"/>
  <c r="E25" i="15"/>
  <c r="BJ25" i="15" s="1"/>
  <c r="E30" i="15"/>
  <c r="G30" i="15" s="1"/>
  <c r="M27" i="15"/>
  <c r="BC27" i="15" s="1"/>
  <c r="BB16" i="15"/>
  <c r="BB65" i="15" s="1"/>
  <c r="AZ43" i="15"/>
  <c r="AZ69" i="15" s="1"/>
  <c r="BB43" i="15"/>
  <c r="BB69" i="15" s="1"/>
  <c r="F43" i="15"/>
  <c r="F69" i="15" s="1"/>
  <c r="D47" i="15"/>
  <c r="D43" i="15" s="1"/>
  <c r="D69" i="15" s="1"/>
  <c r="AY43" i="15"/>
  <c r="AY69" i="15" s="1"/>
  <c r="AZ24" i="15"/>
  <c r="AZ66" i="15" s="1"/>
  <c r="AY24" i="15"/>
  <c r="AY66" i="15" s="1"/>
  <c r="C24" i="15"/>
  <c r="C66" i="15" s="1"/>
  <c r="BB24" i="15"/>
  <c r="BB66" i="15" s="1"/>
  <c r="AX24" i="15"/>
  <c r="AX66" i="15" s="1"/>
  <c r="B33" i="15"/>
  <c r="E33" i="15" s="1"/>
  <c r="G33" i="15" s="1"/>
  <c r="E22" i="15"/>
  <c r="G22" i="15" s="1"/>
  <c r="AZ16" i="15"/>
  <c r="AZ65" i="15" s="1"/>
  <c r="AX16" i="15"/>
  <c r="AX65" i="15" s="1"/>
  <c r="F17" i="15"/>
  <c r="F16" i="15" s="1"/>
  <c r="F65" i="15" s="1"/>
  <c r="R19" i="9"/>
  <c r="C20" i="9"/>
  <c r="R27" i="9"/>
  <c r="D11" i="9"/>
  <c r="D21" i="9"/>
  <c r="D37" i="9"/>
  <c r="D40" i="9"/>
  <c r="D57" i="9"/>
  <c r="G8" i="18"/>
  <c r="F23" i="18"/>
  <c r="D26" i="9"/>
  <c r="D35" i="9"/>
  <c r="D38" i="9"/>
  <c r="D50" i="9"/>
  <c r="F7" i="18"/>
  <c r="F10" i="18"/>
  <c r="G13" i="25"/>
  <c r="D14" i="23"/>
  <c r="D6" i="9"/>
  <c r="D14" i="9"/>
  <c r="D24" i="9"/>
  <c r="D45" i="9"/>
  <c r="D51" i="9"/>
  <c r="D53" i="9"/>
  <c r="G9" i="18"/>
  <c r="F13" i="18"/>
  <c r="F18" i="18"/>
  <c r="F24" i="18"/>
  <c r="G14" i="18"/>
  <c r="F33" i="18"/>
  <c r="D10" i="9"/>
  <c r="D17" i="9"/>
  <c r="D27" i="9"/>
  <c r="D41" i="9"/>
  <c r="G10" i="18"/>
  <c r="D13" i="9"/>
  <c r="D32" i="9"/>
  <c r="D44" i="9"/>
  <c r="G11" i="18"/>
  <c r="G36" i="18"/>
  <c r="D7" i="9"/>
  <c r="D20" i="9"/>
  <c r="D34" i="9"/>
  <c r="D46" i="9"/>
  <c r="D48" i="9"/>
  <c r="F12" i="18"/>
  <c r="G22" i="18"/>
  <c r="E11" i="25"/>
  <c r="D8" i="9"/>
  <c r="D18" i="9"/>
  <c r="D23" i="9"/>
  <c r="D52" i="9"/>
  <c r="D55" i="9"/>
  <c r="F11" i="18"/>
  <c r="G12" i="18"/>
  <c r="G10" i="25"/>
  <c r="R22" i="7"/>
  <c r="B86" i="1"/>
  <c r="C24" i="14" s="1"/>
  <c r="C42" i="9"/>
  <c r="R42" i="9"/>
  <c r="E100" i="9"/>
  <c r="C55" i="14" s="1"/>
  <c r="G67" i="7"/>
  <c r="G35" i="7"/>
  <c r="I63" i="7"/>
  <c r="C57" i="7"/>
  <c r="R57" i="7"/>
  <c r="B63" i="7"/>
  <c r="C87" i="1"/>
  <c r="D25" i="14" s="1"/>
  <c r="J63" i="7"/>
  <c r="P63" i="7"/>
  <c r="P32" i="7"/>
  <c r="M94" i="9"/>
  <c r="D18" i="7"/>
  <c r="D24" i="7"/>
  <c r="D52" i="7"/>
  <c r="D58" i="7"/>
  <c r="E74" i="7"/>
  <c r="C44" i="14" s="1"/>
  <c r="M43" i="9"/>
  <c r="K94" i="9"/>
  <c r="C86" i="1"/>
  <c r="D24" i="14" s="1"/>
  <c r="H6" i="7"/>
  <c r="N6" i="7"/>
  <c r="B13" i="7"/>
  <c r="B65" i="7" s="1"/>
  <c r="H13" i="7"/>
  <c r="H65" i="7" s="1"/>
  <c r="D33" i="7"/>
  <c r="R34" i="7"/>
  <c r="D41" i="7"/>
  <c r="E42" i="7"/>
  <c r="D47" i="7"/>
  <c r="R50" i="7"/>
  <c r="G63" i="7"/>
  <c r="J64" i="7"/>
  <c r="F66" i="7"/>
  <c r="P72" i="7"/>
  <c r="I97" i="9"/>
  <c r="I15" i="9"/>
  <c r="O94" i="9"/>
  <c r="R8" i="9"/>
  <c r="R14" i="9"/>
  <c r="I29" i="9"/>
  <c r="I95" i="9" s="1"/>
  <c r="R32" i="9"/>
  <c r="J99" i="9"/>
  <c r="N43" i="9"/>
  <c r="R49" i="9"/>
  <c r="O104" i="9"/>
  <c r="L94" i="9"/>
  <c r="M97" i="9"/>
  <c r="G99" i="9"/>
  <c r="M101" i="9"/>
  <c r="H102" i="9"/>
  <c r="C30" i="18"/>
  <c r="C43" i="18"/>
  <c r="C75" i="14" s="1"/>
  <c r="C17" i="18"/>
  <c r="AH10" i="18"/>
  <c r="E10" i="18"/>
  <c r="H8" i="18"/>
  <c r="D45" i="7"/>
  <c r="N13" i="7"/>
  <c r="N65" i="7" s="1"/>
  <c r="B37" i="1"/>
  <c r="B82" i="1" s="1"/>
  <c r="C20" i="14" s="1"/>
  <c r="B62" i="1"/>
  <c r="B85" i="1" s="1"/>
  <c r="C23" i="14" s="1"/>
  <c r="O6" i="7"/>
  <c r="D7" i="7"/>
  <c r="D10" i="7"/>
  <c r="I13" i="7"/>
  <c r="I65" i="7" s="1"/>
  <c r="D14" i="7"/>
  <c r="D17" i="7"/>
  <c r="D20" i="7"/>
  <c r="R21" i="7"/>
  <c r="D23" i="7"/>
  <c r="R24" i="7"/>
  <c r="D26" i="7"/>
  <c r="D29" i="7"/>
  <c r="D36" i="7"/>
  <c r="D44" i="7"/>
  <c r="B64" i="7"/>
  <c r="F65" i="7"/>
  <c r="J97" i="9"/>
  <c r="J15" i="9"/>
  <c r="P15" i="9"/>
  <c r="P97" i="9"/>
  <c r="F98" i="9"/>
  <c r="F29" i="9"/>
  <c r="E16" i="9"/>
  <c r="L98" i="9"/>
  <c r="L29" i="9"/>
  <c r="L95" i="9" s="1"/>
  <c r="R18" i="9"/>
  <c r="R22" i="9"/>
  <c r="R28" i="9"/>
  <c r="R39" i="9"/>
  <c r="O43" i="9"/>
  <c r="O101" i="9" s="1"/>
  <c r="J102" i="9"/>
  <c r="J56" i="9"/>
  <c r="J104" i="9" s="1"/>
  <c r="P102" i="9"/>
  <c r="P56" i="9"/>
  <c r="P104" i="9" s="1"/>
  <c r="R54" i="9"/>
  <c r="H56" i="9"/>
  <c r="H104" i="9" s="1"/>
  <c r="O97" i="9"/>
  <c r="H99" i="9"/>
  <c r="F100" i="9"/>
  <c r="N101" i="9"/>
  <c r="I102" i="9"/>
  <c r="E15" i="18"/>
  <c r="AH15" i="18"/>
  <c r="M32" i="7"/>
  <c r="C37" i="1"/>
  <c r="C82" i="1" s="1"/>
  <c r="D20" i="14" s="1"/>
  <c r="C62" i="1"/>
  <c r="C85" i="1" s="1"/>
  <c r="D23" i="14" s="1"/>
  <c r="B91" i="1"/>
  <c r="C29" i="14" s="1"/>
  <c r="D6" i="7"/>
  <c r="E7" i="7"/>
  <c r="J13" i="7"/>
  <c r="J65" i="7" s="1"/>
  <c r="G72" i="7"/>
  <c r="M72" i="7"/>
  <c r="E73" i="7"/>
  <c r="C43" i="14" s="1"/>
  <c r="R47" i="7"/>
  <c r="D49" i="7"/>
  <c r="D51" i="7"/>
  <c r="D57" i="7"/>
  <c r="R9" i="9"/>
  <c r="N15" i="9"/>
  <c r="C17" i="9"/>
  <c r="K30" i="9"/>
  <c r="K96" i="9" s="1"/>
  <c r="R33" i="9"/>
  <c r="H43" i="9"/>
  <c r="H101" i="9" s="1"/>
  <c r="P43" i="9"/>
  <c r="C48" i="9"/>
  <c r="K56" i="9"/>
  <c r="Q56" i="9"/>
  <c r="Q104" i="9" s="1"/>
  <c r="Q103" i="9"/>
  <c r="D59" i="7"/>
  <c r="D53" i="7"/>
  <c r="D50" i="7"/>
  <c r="D8" i="7"/>
  <c r="D11" i="7"/>
  <c r="D21" i="7"/>
  <c r="D42" i="7"/>
  <c r="D54" i="7"/>
  <c r="I101" i="9"/>
  <c r="D9" i="7"/>
  <c r="D12" i="7"/>
  <c r="D16" i="7"/>
  <c r="D19" i="7"/>
  <c r="D22" i="7"/>
  <c r="D25" i="7"/>
  <c r="D28" i="7"/>
  <c r="D31" i="7"/>
  <c r="K32" i="7"/>
  <c r="Q32" i="7"/>
  <c r="D39" i="7"/>
  <c r="D43" i="7"/>
  <c r="D46" i="7"/>
  <c r="G15" i="9"/>
  <c r="E37" i="9"/>
  <c r="I43" i="9"/>
  <c r="E55" i="9"/>
  <c r="K103" i="9"/>
  <c r="G101" i="9"/>
  <c r="P101" i="9"/>
  <c r="F64" i="15"/>
  <c r="D15" i="7"/>
  <c r="D27" i="7"/>
  <c r="D30" i="7"/>
  <c r="D34" i="7"/>
  <c r="D48" i="7"/>
  <c r="E7" i="9"/>
  <c r="H15" i="9"/>
  <c r="J43" i="9"/>
  <c r="J101" i="9" s="1"/>
  <c r="N56" i="9"/>
  <c r="N104" i="9" s="1"/>
  <c r="J45" i="18"/>
  <c r="J43" i="18"/>
  <c r="J30" i="18"/>
  <c r="J17" i="18"/>
  <c r="P17" i="18"/>
  <c r="P45" i="18" s="1"/>
  <c r="P30" i="18"/>
  <c r="P43" i="18"/>
  <c r="V43" i="18"/>
  <c r="V30" i="18"/>
  <c r="V17" i="18"/>
  <c r="AB17" i="18"/>
  <c r="AB45" i="18" s="1"/>
  <c r="AB43" i="18"/>
  <c r="AB30" i="18"/>
  <c r="H50" i="18"/>
  <c r="E31" i="18"/>
  <c r="T45" i="18"/>
  <c r="P64" i="15"/>
  <c r="P53" i="15"/>
  <c r="P71" i="15" s="1"/>
  <c r="AW64" i="15"/>
  <c r="B16" i="15"/>
  <c r="I28" i="18"/>
  <c r="I24" i="18"/>
  <c r="I11" i="18"/>
  <c r="I33" i="18"/>
  <c r="I27" i="18"/>
  <c r="I15" i="18"/>
  <c r="I31" i="18"/>
  <c r="I29" i="18"/>
  <c r="I26" i="18"/>
  <c r="I20" i="18"/>
  <c r="N17" i="18"/>
  <c r="N45" i="18" s="1"/>
  <c r="N43" i="18"/>
  <c r="N30" i="18"/>
  <c r="Z17" i="18"/>
  <c r="Z45" i="18" s="1"/>
  <c r="Z43" i="18"/>
  <c r="Z30" i="18"/>
  <c r="H23" i="18"/>
  <c r="E23" i="18" s="1"/>
  <c r="H18" i="18"/>
  <c r="E18" i="18" s="1"/>
  <c r="E9" i="18"/>
  <c r="I16" i="18"/>
  <c r="F20" i="18"/>
  <c r="N19" i="18"/>
  <c r="N46" i="18" s="1"/>
  <c r="T19" i="18"/>
  <c r="T46" i="18" s="1"/>
  <c r="Z19" i="18"/>
  <c r="Z46" i="18" s="1"/>
  <c r="AF19" i="18"/>
  <c r="AF46" i="18" s="1"/>
  <c r="G25" i="18"/>
  <c r="AH31" i="18"/>
  <c r="R64" i="15"/>
  <c r="R53" i="15"/>
  <c r="R71" i="15" s="1"/>
  <c r="AJ64" i="15"/>
  <c r="AJ53" i="15"/>
  <c r="AJ71" i="15" s="1"/>
  <c r="S9" i="15"/>
  <c r="S8" i="15" s="1"/>
  <c r="Q8" i="15"/>
  <c r="AX8" i="15"/>
  <c r="B9" i="15"/>
  <c r="E12" i="15"/>
  <c r="BJ12" i="15" s="1"/>
  <c r="C16" i="15"/>
  <c r="C65" i="15" s="1"/>
  <c r="E18" i="15"/>
  <c r="BC19" i="15"/>
  <c r="D32" i="15"/>
  <c r="D67" i="15" s="1"/>
  <c r="E34" i="15"/>
  <c r="I13" i="18"/>
  <c r="I14" i="18"/>
  <c r="E20" i="18"/>
  <c r="I25" i="18"/>
  <c r="AF30" i="18"/>
  <c r="T43" i="18"/>
  <c r="J64" i="15"/>
  <c r="Y8" i="15"/>
  <c r="AY64" i="15"/>
  <c r="BA10" i="15"/>
  <c r="E14" i="15"/>
  <c r="G14" i="15" s="1"/>
  <c r="AE16" i="15"/>
  <c r="AE65" i="15" s="1"/>
  <c r="E19" i="15"/>
  <c r="BJ19" i="15" s="1"/>
  <c r="BC20" i="15"/>
  <c r="E23" i="15"/>
  <c r="BJ23" i="15" s="1"/>
  <c r="AH11" i="18"/>
  <c r="I12" i="18"/>
  <c r="AH20" i="18"/>
  <c r="I34" i="18"/>
  <c r="I36" i="18"/>
  <c r="AF45" i="18"/>
  <c r="L64" i="15"/>
  <c r="L53" i="15"/>
  <c r="L71" i="15" s="1"/>
  <c r="AD64" i="15"/>
  <c r="AD53" i="15"/>
  <c r="AD71" i="15" s="1"/>
  <c r="AV64" i="15"/>
  <c r="AV53" i="15"/>
  <c r="AV71" i="15" s="1"/>
  <c r="BH64" i="15"/>
  <c r="BH53" i="15"/>
  <c r="BH71" i="15" s="1"/>
  <c r="AE64" i="15"/>
  <c r="E10" i="15"/>
  <c r="BJ10" i="15" s="1"/>
  <c r="E20" i="15"/>
  <c r="D16" i="9"/>
  <c r="D19" i="9"/>
  <c r="K43" i="9"/>
  <c r="D43" i="9" s="1"/>
  <c r="Q43" i="9"/>
  <c r="Q101" i="9" s="1"/>
  <c r="D47" i="9"/>
  <c r="F104" i="9"/>
  <c r="E50" i="9"/>
  <c r="L104" i="9"/>
  <c r="Q99" i="9"/>
  <c r="F32" i="18"/>
  <c r="G31" i="18"/>
  <c r="G29" i="18"/>
  <c r="G26" i="18"/>
  <c r="F21" i="18"/>
  <c r="G20" i="18"/>
  <c r="F14" i="18"/>
  <c r="G13" i="18"/>
  <c r="F8" i="18"/>
  <c r="G7" i="18"/>
  <c r="G28" i="18"/>
  <c r="F25" i="18"/>
  <c r="G24" i="18"/>
  <c r="F22" i="18"/>
  <c r="F17" i="18"/>
  <c r="G35" i="18"/>
  <c r="F34" i="18"/>
  <c r="G33" i="18"/>
  <c r="G27" i="18"/>
  <c r="F15" i="18"/>
  <c r="F16" i="18"/>
  <c r="G19" i="18"/>
  <c r="I22" i="18"/>
  <c r="F26" i="18"/>
  <c r="G32" i="18"/>
  <c r="AH33" i="18"/>
  <c r="F35" i="18"/>
  <c r="V64" i="15"/>
  <c r="V53" i="15"/>
  <c r="V71" i="15" s="1"/>
  <c r="C8" i="15"/>
  <c r="AK9" i="15"/>
  <c r="AK8" i="15" s="1"/>
  <c r="AI8" i="15"/>
  <c r="BC14" i="15"/>
  <c r="E15" i="15"/>
  <c r="BJ15" i="15" s="1"/>
  <c r="E21" i="15"/>
  <c r="G21" i="15" s="1"/>
  <c r="AK24" i="15"/>
  <c r="AK66" i="15" s="1"/>
  <c r="D24" i="15"/>
  <c r="D66" i="15" s="1"/>
  <c r="E28" i="15"/>
  <c r="BJ28" i="15" s="1"/>
  <c r="D9" i="9"/>
  <c r="D12" i="9"/>
  <c r="D22" i="9"/>
  <c r="D25" i="9"/>
  <c r="D28" i="9"/>
  <c r="D31" i="9"/>
  <c r="D33" i="9"/>
  <c r="D36" i="9"/>
  <c r="D39" i="9"/>
  <c r="D42" i="9"/>
  <c r="F43" i="9"/>
  <c r="F101" i="9" s="1"/>
  <c r="L43" i="9"/>
  <c r="L101" i="9" s="1"/>
  <c r="D49" i="9"/>
  <c r="R52" i="9"/>
  <c r="K99" i="9"/>
  <c r="L102" i="9"/>
  <c r="E7" i="18"/>
  <c r="F9" i="18"/>
  <c r="E14" i="18"/>
  <c r="G15" i="18"/>
  <c r="G16" i="18"/>
  <c r="G17" i="18"/>
  <c r="I19" i="18"/>
  <c r="L19" i="18"/>
  <c r="R19" i="18"/>
  <c r="X19" i="18"/>
  <c r="AD19" i="18"/>
  <c r="T30" i="18"/>
  <c r="F31" i="18"/>
  <c r="AF43" i="18"/>
  <c r="X64" i="15"/>
  <c r="X53" i="15"/>
  <c r="X71" i="15" s="1"/>
  <c r="AP64" i="15"/>
  <c r="AP53" i="15"/>
  <c r="AP71" i="15" s="1"/>
  <c r="BB64" i="15"/>
  <c r="AQ8" i="15"/>
  <c r="BI9" i="15"/>
  <c r="BI8" i="15" s="1"/>
  <c r="BG8" i="15"/>
  <c r="E11" i="15"/>
  <c r="BJ11" i="15" s="1"/>
  <c r="AW16" i="15"/>
  <c r="AW65" i="15" s="1"/>
  <c r="BC22" i="15"/>
  <c r="BC25" i="15"/>
  <c r="F32" i="15"/>
  <c r="F67" i="15" s="1"/>
  <c r="AH64" i="15"/>
  <c r="AH53" i="15"/>
  <c r="AH71" i="15" s="1"/>
  <c r="AN64" i="15"/>
  <c r="AN53" i="15"/>
  <c r="AN71" i="15" s="1"/>
  <c r="AZ64" i="15"/>
  <c r="BF64" i="15"/>
  <c r="BF53" i="15"/>
  <c r="BF71" i="15" s="1"/>
  <c r="D17" i="15"/>
  <c r="D16" i="15" s="1"/>
  <c r="D65" i="15" s="1"/>
  <c r="B24" i="15"/>
  <c r="F25" i="15"/>
  <c r="F24" i="15" s="1"/>
  <c r="F66" i="15" s="1"/>
  <c r="BB32" i="15"/>
  <c r="BB67" i="15" s="1"/>
  <c r="BA33" i="15"/>
  <c r="M33" i="15"/>
  <c r="K32" i="15"/>
  <c r="K67" i="15" s="1"/>
  <c r="W37" i="15"/>
  <c r="W68" i="15" s="1"/>
  <c r="E40" i="15"/>
  <c r="G41" i="15"/>
  <c r="BK41" i="15" s="1"/>
  <c r="G42" i="15"/>
  <c r="BK42" i="15" s="1"/>
  <c r="AI43" i="15"/>
  <c r="AI69" i="15" s="1"/>
  <c r="AK44" i="15"/>
  <c r="AK43" i="15" s="1"/>
  <c r="AK69" i="15" s="1"/>
  <c r="AW50" i="15"/>
  <c r="AW49" i="15" s="1"/>
  <c r="AW70" i="15" s="1"/>
  <c r="AU49" i="15"/>
  <c r="AU70" i="15" s="1"/>
  <c r="BD64" i="15"/>
  <c r="K8" i="15"/>
  <c r="W8" i="15"/>
  <c r="AC8" i="15"/>
  <c r="AO8" i="15"/>
  <c r="AU8" i="15"/>
  <c r="M9" i="15"/>
  <c r="M10" i="15"/>
  <c r="BC10" i="15" s="1"/>
  <c r="M11" i="15"/>
  <c r="BC11" i="15" s="1"/>
  <c r="M12" i="15"/>
  <c r="BC12" i="15" s="1"/>
  <c r="M13" i="15"/>
  <c r="BC13" i="15" s="1"/>
  <c r="BA15" i="15"/>
  <c r="S17" i="15"/>
  <c r="S16" i="15" s="1"/>
  <c r="S65" i="15" s="1"/>
  <c r="AK17" i="15"/>
  <c r="AK16" i="15" s="1"/>
  <c r="AK65" i="15" s="1"/>
  <c r="BI17" i="15"/>
  <c r="BI16" i="15" s="1"/>
  <c r="BI65" i="15" s="1"/>
  <c r="BA22" i="15"/>
  <c r="M23" i="15"/>
  <c r="BC23" i="15" s="1"/>
  <c r="BA25" i="15"/>
  <c r="BA26" i="15"/>
  <c r="E27" i="15"/>
  <c r="BJ27" i="15" s="1"/>
  <c r="BA29" i="15"/>
  <c r="AQ33" i="15"/>
  <c r="AQ32" i="15" s="1"/>
  <c r="AQ67" i="15" s="1"/>
  <c r="AO32" i="15"/>
  <c r="AO67" i="15" s="1"/>
  <c r="BC38" i="15"/>
  <c r="M43" i="15"/>
  <c r="M69" i="15" s="1"/>
  <c r="E45" i="15"/>
  <c r="BC46" i="15"/>
  <c r="E51" i="15"/>
  <c r="BC31" i="15"/>
  <c r="BA31" i="15"/>
  <c r="AW33" i="15"/>
  <c r="AW32" i="15" s="1"/>
  <c r="AW67" i="15" s="1"/>
  <c r="AU32" i="15"/>
  <c r="AU67" i="15" s="1"/>
  <c r="BA34" i="15"/>
  <c r="M34" i="15"/>
  <c r="BC34" i="15" s="1"/>
  <c r="BA41" i="15"/>
  <c r="BA42" i="15"/>
  <c r="Q43" i="15"/>
  <c r="Q69" i="15" s="1"/>
  <c r="S44" i="15"/>
  <c r="BG43" i="15"/>
  <c r="BG69" i="15" s="1"/>
  <c r="BI44" i="15"/>
  <c r="BI43" i="15" s="1"/>
  <c r="BI69" i="15" s="1"/>
  <c r="BA48" i="15"/>
  <c r="S48" i="15"/>
  <c r="BC48" i="15" s="1"/>
  <c r="AE50" i="15"/>
  <c r="AE49" i="15" s="1"/>
  <c r="AE70" i="15" s="1"/>
  <c r="AC49" i="15"/>
  <c r="AC70" i="15" s="1"/>
  <c r="BA51" i="15"/>
  <c r="M51" i="15"/>
  <c r="BC51" i="15" s="1"/>
  <c r="T64" i="15"/>
  <c r="BA14" i="15"/>
  <c r="AY16" i="15"/>
  <c r="AY65" i="15" s="1"/>
  <c r="Y17" i="15"/>
  <c r="Y16" i="15" s="1"/>
  <c r="Y65" i="15" s="1"/>
  <c r="AQ17" i="15"/>
  <c r="AQ16" i="15" s="1"/>
  <c r="AQ65" i="15" s="1"/>
  <c r="BA17" i="15"/>
  <c r="BA18" i="15"/>
  <c r="BA19" i="15"/>
  <c r="BA20" i="15"/>
  <c r="BA21" i="15"/>
  <c r="K24" i="15"/>
  <c r="K66" i="15" s="1"/>
  <c r="Q24" i="15"/>
  <c r="Q66" i="15" s="1"/>
  <c r="AC24" i="15"/>
  <c r="AC66" i="15" s="1"/>
  <c r="AU24" i="15"/>
  <c r="AU66" i="15" s="1"/>
  <c r="M28" i="15"/>
  <c r="BC28" i="15" s="1"/>
  <c r="Y33" i="15"/>
  <c r="Y32" i="15" s="1"/>
  <c r="Y67" i="15" s="1"/>
  <c r="W32" i="15"/>
  <c r="W67" i="15" s="1"/>
  <c r="BA35" i="15"/>
  <c r="M35" i="15"/>
  <c r="BC35" i="15" s="1"/>
  <c r="D37" i="15"/>
  <c r="E38" i="15"/>
  <c r="BC41" i="15"/>
  <c r="BC42" i="15"/>
  <c r="AW43" i="15"/>
  <c r="AW69" i="15" s="1"/>
  <c r="AB64" i="15"/>
  <c r="H53" i="15"/>
  <c r="H71" i="15" s="1"/>
  <c r="H64" i="15"/>
  <c r="N53" i="15"/>
  <c r="N71" i="15" s="1"/>
  <c r="N64" i="15"/>
  <c r="Z53" i="15"/>
  <c r="Z71" i="15" s="1"/>
  <c r="Z64" i="15"/>
  <c r="AF53" i="15"/>
  <c r="AF71" i="15" s="1"/>
  <c r="AF64" i="15"/>
  <c r="AR53" i="15"/>
  <c r="AR71" i="15" s="1"/>
  <c r="AR64" i="15"/>
  <c r="BA30" i="15"/>
  <c r="E31" i="15"/>
  <c r="BJ31" i="15" s="1"/>
  <c r="AE33" i="15"/>
  <c r="AE32" i="15" s="1"/>
  <c r="AE67" i="15" s="1"/>
  <c r="AC32" i="15"/>
  <c r="AC67" i="15" s="1"/>
  <c r="AY32" i="15"/>
  <c r="AY67" i="15" s="1"/>
  <c r="C33" i="15"/>
  <c r="C32" i="15" s="1"/>
  <c r="C67" i="15" s="1"/>
  <c r="BA36" i="15"/>
  <c r="M36" i="15"/>
  <c r="BC36" i="15" s="1"/>
  <c r="AI37" i="15"/>
  <c r="AI68" i="15" s="1"/>
  <c r="AX37" i="15"/>
  <c r="AX68" i="15" s="1"/>
  <c r="AE37" i="15"/>
  <c r="AE68" i="15" s="1"/>
  <c r="B44" i="15"/>
  <c r="AX43" i="15"/>
  <c r="AX69" i="15" s="1"/>
  <c r="BC45" i="15"/>
  <c r="E46" i="15"/>
  <c r="BJ46" i="15" s="1"/>
  <c r="E48" i="15"/>
  <c r="BJ48" i="15" s="1"/>
  <c r="BA50" i="15"/>
  <c r="M50" i="15"/>
  <c r="K49" i="15"/>
  <c r="K70" i="15" s="1"/>
  <c r="F50" i="15"/>
  <c r="F49" i="15" s="1"/>
  <c r="F70" i="15" s="1"/>
  <c r="BB49" i="15"/>
  <c r="BB70" i="15" s="1"/>
  <c r="E52" i="15"/>
  <c r="AL64" i="15"/>
  <c r="R30" i="18"/>
  <c r="AD30" i="18"/>
  <c r="R43" i="18"/>
  <c r="AD43" i="18"/>
  <c r="I53" i="15"/>
  <c r="I71" i="15" s="1"/>
  <c r="I64" i="15"/>
  <c r="O53" i="15"/>
  <c r="O71" i="15" s="1"/>
  <c r="O64" i="15"/>
  <c r="U53" i="15"/>
  <c r="U71" i="15" s="1"/>
  <c r="U64" i="15"/>
  <c r="AA53" i="15"/>
  <c r="AA71" i="15" s="1"/>
  <c r="AA64" i="15"/>
  <c r="AG53" i="15"/>
  <c r="AG71" i="15" s="1"/>
  <c r="AG64" i="15"/>
  <c r="AM53" i="15"/>
  <c r="AM71" i="15" s="1"/>
  <c r="AM64" i="15"/>
  <c r="AS53" i="15"/>
  <c r="AS71" i="15" s="1"/>
  <c r="AS64" i="15"/>
  <c r="BE53" i="15"/>
  <c r="BE71" i="15" s="1"/>
  <c r="BE64" i="15"/>
  <c r="K16" i="15"/>
  <c r="K65" i="15" s="1"/>
  <c r="AC16" i="15"/>
  <c r="AC65" i="15" s="1"/>
  <c r="AU16" i="15"/>
  <c r="AU65" i="15" s="1"/>
  <c r="E26" i="15"/>
  <c r="BJ26" i="15" s="1"/>
  <c r="M30" i="15"/>
  <c r="BC30" i="15" s="1"/>
  <c r="AZ32" i="15"/>
  <c r="AZ67" i="15" s="1"/>
  <c r="AI32" i="15"/>
  <c r="AI67" i="15" s="1"/>
  <c r="BG37" i="15"/>
  <c r="BG68" i="15" s="1"/>
  <c r="BA38" i="15"/>
  <c r="BA37" i="15" s="1"/>
  <c r="BA68" i="15" s="1"/>
  <c r="AK37" i="15"/>
  <c r="AK68" i="15" s="1"/>
  <c r="AZ37" i="15"/>
  <c r="AZ68" i="15" s="1"/>
  <c r="E39" i="15"/>
  <c r="BJ39" i="15" s="1"/>
  <c r="BJ40" i="15"/>
  <c r="BJ41" i="15"/>
  <c r="BJ42" i="15"/>
  <c r="AE43" i="15"/>
  <c r="AE69" i="15" s="1"/>
  <c r="C43" i="15"/>
  <c r="C69" i="15" s="1"/>
  <c r="BA47" i="15"/>
  <c r="S47" i="15"/>
  <c r="BC47" i="15" s="1"/>
  <c r="AT64" i="15"/>
  <c r="W49" i="15"/>
  <c r="W70" i="15" s="1"/>
  <c r="AO49" i="15"/>
  <c r="AO70" i="15" s="1"/>
  <c r="C50" i="15"/>
  <c r="C49" i="15" s="1"/>
  <c r="C70" i="15" s="1"/>
  <c r="BD59" i="25"/>
  <c r="BD56" i="25"/>
  <c r="BC7" i="25"/>
  <c r="BC59" i="25" s="1"/>
  <c r="BK59" i="25"/>
  <c r="BK56" i="25"/>
  <c r="H8" i="25"/>
  <c r="E9" i="25"/>
  <c r="F11" i="25"/>
  <c r="G12" i="25"/>
  <c r="AK56" i="25"/>
  <c r="AK59" i="25"/>
  <c r="AI7" i="25"/>
  <c r="AI59" i="25" s="1"/>
  <c r="AR59" i="25"/>
  <c r="AR56" i="25"/>
  <c r="AR63" i="25" s="1"/>
  <c r="BE59" i="25"/>
  <c r="BE56" i="25"/>
  <c r="BL59" i="25"/>
  <c r="BL56" i="25"/>
  <c r="BL63" i="25" s="1"/>
  <c r="J9" i="25"/>
  <c r="D9" i="25" s="1"/>
  <c r="H11" i="25"/>
  <c r="BO60" i="25"/>
  <c r="BM13" i="25"/>
  <c r="BM60" i="25" s="1"/>
  <c r="BA44" i="15"/>
  <c r="BA45" i="15"/>
  <c r="BA46" i="15"/>
  <c r="G55" i="25"/>
  <c r="F54" i="25"/>
  <c r="E53" i="25"/>
  <c r="I51" i="25"/>
  <c r="H50" i="25"/>
  <c r="G49" i="25"/>
  <c r="F48" i="25"/>
  <c r="E47" i="25"/>
  <c r="I45" i="25"/>
  <c r="H44" i="25"/>
  <c r="G43" i="25"/>
  <c r="F42" i="25"/>
  <c r="E41" i="25"/>
  <c r="I39" i="25"/>
  <c r="H38" i="25"/>
  <c r="G37" i="25"/>
  <c r="E55" i="25"/>
  <c r="I53" i="25"/>
  <c r="H52" i="25"/>
  <c r="G51" i="25"/>
  <c r="F50" i="25"/>
  <c r="E49" i="25"/>
  <c r="I47" i="25"/>
  <c r="H46" i="25"/>
  <c r="G45" i="25"/>
  <c r="F44" i="25"/>
  <c r="E43" i="25"/>
  <c r="I41" i="25"/>
  <c r="H40" i="25"/>
  <c r="G39" i="25"/>
  <c r="F38" i="25"/>
  <c r="E37" i="25"/>
  <c r="I54" i="25"/>
  <c r="H53" i="25"/>
  <c r="G52" i="25"/>
  <c r="F51" i="25"/>
  <c r="I48" i="25"/>
  <c r="H47" i="25"/>
  <c r="G46" i="25"/>
  <c r="I55" i="25"/>
  <c r="H54" i="25"/>
  <c r="G53" i="25"/>
  <c r="F52" i="25"/>
  <c r="E51" i="25"/>
  <c r="I49" i="25"/>
  <c r="H48" i="25"/>
  <c r="G47" i="25"/>
  <c r="F46" i="25"/>
  <c r="E45" i="25"/>
  <c r="I43" i="25"/>
  <c r="H42" i="25"/>
  <c r="G41" i="25"/>
  <c r="F40" i="25"/>
  <c r="E39" i="25"/>
  <c r="I37" i="25"/>
  <c r="H55" i="25"/>
  <c r="G54" i="25"/>
  <c r="F53" i="25"/>
  <c r="E52" i="25"/>
  <c r="I50" i="25"/>
  <c r="H49" i="25"/>
  <c r="G48" i="25"/>
  <c r="F47" i="25"/>
  <c r="I44" i="25"/>
  <c r="H43" i="25"/>
  <c r="G42" i="25"/>
  <c r="F41" i="25"/>
  <c r="I52" i="25"/>
  <c r="G40" i="25"/>
  <c r="H36" i="25"/>
  <c r="G35" i="25"/>
  <c r="F34" i="25"/>
  <c r="E33" i="25"/>
  <c r="I31" i="25"/>
  <c r="H30" i="25"/>
  <c r="G29" i="25"/>
  <c r="F28" i="25"/>
  <c r="E27" i="25"/>
  <c r="I25" i="25"/>
  <c r="H24" i="25"/>
  <c r="G23" i="25"/>
  <c r="F22" i="25"/>
  <c r="E21" i="25"/>
  <c r="I19" i="25"/>
  <c r="H18" i="25"/>
  <c r="G17" i="25"/>
  <c r="E54" i="25"/>
  <c r="E48" i="25"/>
  <c r="E40" i="25"/>
  <c r="H39" i="25"/>
  <c r="G36" i="25"/>
  <c r="F35" i="25"/>
  <c r="E34" i="25"/>
  <c r="I32" i="25"/>
  <c r="H31" i="25"/>
  <c r="G30" i="25"/>
  <c r="F29" i="25"/>
  <c r="E28" i="25"/>
  <c r="I26" i="25"/>
  <c r="H25" i="25"/>
  <c r="G24" i="25"/>
  <c r="F23" i="25"/>
  <c r="E22" i="25"/>
  <c r="I20" i="25"/>
  <c r="H19" i="25"/>
  <c r="G18" i="25"/>
  <c r="F55" i="25"/>
  <c r="F49" i="25"/>
  <c r="F39" i="25"/>
  <c r="I38" i="25"/>
  <c r="F36" i="25"/>
  <c r="E35" i="25"/>
  <c r="I33" i="25"/>
  <c r="H32" i="25"/>
  <c r="G31" i="25"/>
  <c r="F30" i="25"/>
  <c r="E29" i="25"/>
  <c r="I27" i="25"/>
  <c r="H26" i="25"/>
  <c r="G25" i="25"/>
  <c r="F24" i="25"/>
  <c r="E23" i="25"/>
  <c r="I21" i="25"/>
  <c r="H20" i="25"/>
  <c r="G19" i="25"/>
  <c r="F18" i="25"/>
  <c r="G50" i="25"/>
  <c r="H45" i="25"/>
  <c r="G44" i="25"/>
  <c r="G38" i="25"/>
  <c r="E36" i="25"/>
  <c r="I34" i="25"/>
  <c r="H33" i="25"/>
  <c r="G32" i="25"/>
  <c r="F31" i="25"/>
  <c r="E30" i="25"/>
  <c r="I28" i="25"/>
  <c r="H27" i="25"/>
  <c r="G26" i="25"/>
  <c r="F25" i="25"/>
  <c r="E24" i="25"/>
  <c r="I22" i="25"/>
  <c r="H21" i="25"/>
  <c r="G20" i="25"/>
  <c r="F19" i="25"/>
  <c r="E18" i="25"/>
  <c r="I16" i="25"/>
  <c r="H15" i="25"/>
  <c r="G14" i="25"/>
  <c r="F13" i="25"/>
  <c r="E12" i="25"/>
  <c r="I10" i="25"/>
  <c r="H9" i="25"/>
  <c r="G8" i="25"/>
  <c r="F7" i="25"/>
  <c r="I46" i="25"/>
  <c r="F45" i="25"/>
  <c r="E44" i="25"/>
  <c r="F43" i="25"/>
  <c r="I42" i="25"/>
  <c r="E38" i="25"/>
  <c r="H37" i="25"/>
  <c r="I35" i="25"/>
  <c r="H34" i="25"/>
  <c r="G33" i="25"/>
  <c r="F32" i="25"/>
  <c r="E31" i="25"/>
  <c r="I29" i="25"/>
  <c r="H28" i="25"/>
  <c r="G27" i="25"/>
  <c r="F26" i="25"/>
  <c r="E25" i="25"/>
  <c r="I23" i="25"/>
  <c r="H22" i="25"/>
  <c r="G21" i="25"/>
  <c r="F20" i="25"/>
  <c r="E19" i="25"/>
  <c r="I17" i="25"/>
  <c r="H16" i="25"/>
  <c r="G15" i="25"/>
  <c r="F14" i="25"/>
  <c r="I11" i="25"/>
  <c r="H10" i="25"/>
  <c r="G9" i="25"/>
  <c r="G34" i="25"/>
  <c r="F27" i="25"/>
  <c r="E20" i="25"/>
  <c r="E17" i="25"/>
  <c r="G16" i="25"/>
  <c r="I14" i="25"/>
  <c r="H12" i="25"/>
  <c r="E10" i="25"/>
  <c r="F8" i="25"/>
  <c r="H7" i="25"/>
  <c r="H35" i="25"/>
  <c r="G28" i="25"/>
  <c r="F21" i="25"/>
  <c r="F16" i="25"/>
  <c r="H14" i="25"/>
  <c r="I40" i="25"/>
  <c r="I36" i="25"/>
  <c r="H29" i="25"/>
  <c r="G22" i="25"/>
  <c r="E16" i="25"/>
  <c r="E14" i="25"/>
  <c r="H41" i="25"/>
  <c r="F37" i="25"/>
  <c r="I30" i="25"/>
  <c r="H23" i="25"/>
  <c r="I15" i="25"/>
  <c r="I13" i="25"/>
  <c r="H51" i="25"/>
  <c r="E42" i="25"/>
  <c r="E32" i="25"/>
  <c r="I24" i="25"/>
  <c r="H17" i="25"/>
  <c r="F15" i="25"/>
  <c r="F12" i="25"/>
  <c r="G11" i="25"/>
  <c r="I8" i="25"/>
  <c r="F17" i="25"/>
  <c r="F33" i="25"/>
  <c r="E26" i="25"/>
  <c r="I18" i="25"/>
  <c r="F10" i="25"/>
  <c r="I9" i="25"/>
  <c r="I7" i="25"/>
  <c r="H13" i="25"/>
  <c r="I12" i="25"/>
  <c r="F9" i="25"/>
  <c r="G7" i="25"/>
  <c r="AE56" i="25"/>
  <c r="AE59" i="25"/>
  <c r="AD7" i="25"/>
  <c r="AD59" i="25" s="1"/>
  <c r="AL59" i="25"/>
  <c r="AL56" i="25"/>
  <c r="M7" i="25"/>
  <c r="M59" i="25" s="1"/>
  <c r="AY59" i="25"/>
  <c r="AY56" i="25"/>
  <c r="BC52" i="15"/>
  <c r="AF59" i="25"/>
  <c r="AF56" i="25"/>
  <c r="BG56" i="25"/>
  <c r="BG63" i="25" s="1"/>
  <c r="BG59" i="25"/>
  <c r="BO56" i="25"/>
  <c r="BO59" i="25"/>
  <c r="BM7" i="25"/>
  <c r="BM59" i="25" s="1"/>
  <c r="BU56" i="25"/>
  <c r="BU59" i="25"/>
  <c r="AA60" i="25"/>
  <c r="Y13" i="25"/>
  <c r="Y60" i="25" s="1"/>
  <c r="K43" i="15"/>
  <c r="K69" i="15" s="1"/>
  <c r="AC43" i="15"/>
  <c r="AC69" i="15" s="1"/>
  <c r="AU43" i="15"/>
  <c r="AU69" i="15" s="1"/>
  <c r="S56" i="25"/>
  <c r="S59" i="25"/>
  <c r="AO56" i="25"/>
  <c r="AO59" i="25"/>
  <c r="AN7" i="25"/>
  <c r="AN59" i="25" s="1"/>
  <c r="AU56" i="25"/>
  <c r="AU59" i="25"/>
  <c r="BA56" i="25"/>
  <c r="BA59" i="25"/>
  <c r="P59" i="25"/>
  <c r="P56" i="25"/>
  <c r="O7" i="25"/>
  <c r="O59" i="25" s="1"/>
  <c r="V59" i="25"/>
  <c r="V56" i="25"/>
  <c r="AB59" i="25"/>
  <c r="AB56" i="25"/>
  <c r="BI56" i="25"/>
  <c r="BI59" i="25"/>
  <c r="BH7" i="25"/>
  <c r="BH59" i="25" s="1"/>
  <c r="BP59" i="25"/>
  <c r="BP56" i="25"/>
  <c r="BV59" i="25"/>
  <c r="BV56" i="25"/>
  <c r="BV63" i="25" s="1"/>
  <c r="U60" i="25"/>
  <c r="T13" i="25"/>
  <c r="T60" i="25" s="1"/>
  <c r="AB60" i="25"/>
  <c r="M13" i="25"/>
  <c r="M60" i="25" s="1"/>
  <c r="Q56" i="25"/>
  <c r="Q59" i="25"/>
  <c r="L7" i="25"/>
  <c r="L59" i="25" s="1"/>
  <c r="W56" i="25"/>
  <c r="W59" i="25"/>
  <c r="AC56" i="25"/>
  <c r="AC63" i="25" s="1"/>
  <c r="AC59" i="25"/>
  <c r="AQ56" i="25"/>
  <c r="AQ59" i="25"/>
  <c r="AW56" i="25"/>
  <c r="AW63" i="25" s="1"/>
  <c r="AW59" i="25"/>
  <c r="BJ59" i="25"/>
  <c r="BJ56" i="25"/>
  <c r="BQ59" i="25"/>
  <c r="BQ56" i="25"/>
  <c r="BQ63" i="25" s="1"/>
  <c r="P60" i="25"/>
  <c r="K13" i="25"/>
  <c r="BU60" i="25"/>
  <c r="BR13" i="25"/>
  <c r="BR60" i="25" s="1"/>
  <c r="T7" i="25"/>
  <c r="T59" i="25" s="1"/>
  <c r="Z59" i="25"/>
  <c r="Z56" i="25"/>
  <c r="AG59" i="25"/>
  <c r="AG56" i="25"/>
  <c r="AM59" i="25"/>
  <c r="AM56" i="25"/>
  <c r="AM63" i="25" s="1"/>
  <c r="BI60" i="25"/>
  <c r="BH13" i="25"/>
  <c r="BH60" i="25" s="1"/>
  <c r="BI62" i="25"/>
  <c r="BH50" i="25"/>
  <c r="BH62" i="25" s="1"/>
  <c r="J12" i="25"/>
  <c r="D12" i="25" s="1"/>
  <c r="AK60" i="25"/>
  <c r="AI13" i="25"/>
  <c r="AI60" i="25" s="1"/>
  <c r="BC13" i="25"/>
  <c r="BC60" i="25" s="1"/>
  <c r="AE60" i="25"/>
  <c r="AD13" i="25"/>
  <c r="AD60" i="25" s="1"/>
  <c r="J23" i="25"/>
  <c r="D23" i="25" s="1"/>
  <c r="J22" i="25"/>
  <c r="D22" i="25" s="1"/>
  <c r="J37" i="25"/>
  <c r="D37" i="25" s="1"/>
  <c r="U59" i="25"/>
  <c r="U56" i="25"/>
  <c r="AA59" i="25"/>
  <c r="AA56" i="25"/>
  <c r="AH59" i="25"/>
  <c r="AH56" i="25"/>
  <c r="AH63" i="25" s="1"/>
  <c r="AT59" i="25"/>
  <c r="AT56" i="25"/>
  <c r="AZ59" i="25"/>
  <c r="AZ56" i="25"/>
  <c r="BF59" i="25"/>
  <c r="BF56" i="25"/>
  <c r="BS56" i="25"/>
  <c r="BS59" i="25"/>
  <c r="J11" i="25"/>
  <c r="D11" i="25" s="1"/>
  <c r="N13" i="25"/>
  <c r="N60" i="25" s="1"/>
  <c r="AN13" i="25"/>
  <c r="AN60" i="25" s="1"/>
  <c r="J28" i="25"/>
  <c r="D28" i="25" s="1"/>
  <c r="J35" i="25"/>
  <c r="D35" i="25" s="1"/>
  <c r="AA61" i="25"/>
  <c r="Y46" i="25"/>
  <c r="Y61" i="25" s="1"/>
  <c r="J36" i="25"/>
  <c r="D36" i="25" s="1"/>
  <c r="J40" i="25"/>
  <c r="D40" i="25" s="1"/>
  <c r="T46" i="25"/>
  <c r="T61" i="25" s="1"/>
  <c r="U61" i="25"/>
  <c r="K46" i="25"/>
  <c r="BC46" i="25"/>
  <c r="BC61" i="25" s="1"/>
  <c r="BE61" i="25"/>
  <c r="S62" i="25"/>
  <c r="N50" i="25"/>
  <c r="N62" i="25" s="1"/>
  <c r="AN50" i="25"/>
  <c r="AN62" i="25" s="1"/>
  <c r="BC62" i="25"/>
  <c r="BN56" i="25"/>
  <c r="L13" i="25"/>
  <c r="L60" i="25" s="1"/>
  <c r="AY61" i="25"/>
  <c r="AX46" i="25"/>
  <c r="AX61" i="25" s="1"/>
  <c r="BR50" i="25"/>
  <c r="BR62" i="25" s="1"/>
  <c r="J51" i="25"/>
  <c r="D51" i="25" s="1"/>
  <c r="AJ56" i="25"/>
  <c r="BT56" i="25"/>
  <c r="J44" i="25"/>
  <c r="D44" i="25" s="1"/>
  <c r="M50" i="25"/>
  <c r="M62" i="25" s="1"/>
  <c r="AP56" i="25"/>
  <c r="J38" i="25"/>
  <c r="D38" i="25" s="1"/>
  <c r="J45" i="25"/>
  <c r="D45" i="25" s="1"/>
  <c r="AK62" i="25"/>
  <c r="AI50" i="25"/>
  <c r="AI62" i="25" s="1"/>
  <c r="AV56" i="25"/>
  <c r="AG61" i="25"/>
  <c r="M46" i="25"/>
  <c r="M61" i="25" s="1"/>
  <c r="L50" i="25"/>
  <c r="L62" i="25" s="1"/>
  <c r="AE62" i="25"/>
  <c r="AD50" i="25"/>
  <c r="AD62" i="25" s="1"/>
  <c r="K50" i="25"/>
  <c r="BO62" i="25"/>
  <c r="BM50" i="25"/>
  <c r="BM62" i="25" s="1"/>
  <c r="R56" i="25"/>
  <c r="BB56" i="25"/>
  <c r="BB63" i="25" s="1"/>
  <c r="AI46" i="25"/>
  <c r="AI61" i="25" s="1"/>
  <c r="BM46" i="25"/>
  <c r="BM61" i="25" s="1"/>
  <c r="O50" i="25"/>
  <c r="O62" i="25" s="1"/>
  <c r="AS50" i="25"/>
  <c r="AS62" i="25" s="1"/>
  <c r="AO62" i="25"/>
  <c r="M18" i="19"/>
  <c r="R36" i="23"/>
  <c r="L46" i="25"/>
  <c r="L61" i="25" s="1"/>
  <c r="AD46" i="25"/>
  <c r="AD61" i="25" s="1"/>
  <c r="BH46" i="25"/>
  <c r="BH61" i="25" s="1"/>
  <c r="T12" i="23"/>
  <c r="T24" i="23"/>
  <c r="E22" i="23"/>
  <c r="R22" i="23" s="1"/>
  <c r="H29" i="23"/>
  <c r="H39" i="23" s="1"/>
  <c r="E30" i="23"/>
  <c r="N32" i="23"/>
  <c r="N40" i="23" s="1"/>
  <c r="N46" i="25"/>
  <c r="N61" i="25" s="1"/>
  <c r="W8" i="19"/>
  <c r="S6" i="23"/>
  <c r="R30" i="23"/>
  <c r="R23" i="23"/>
  <c r="T15" i="23"/>
  <c r="T27" i="23"/>
  <c r="K29" i="23"/>
  <c r="K39" i="23" s="1"/>
  <c r="Q32" i="23"/>
  <c r="AN46" i="25"/>
  <c r="AN61" i="25" s="1"/>
  <c r="BR46" i="25"/>
  <c r="BR61" i="25" s="1"/>
  <c r="T50" i="25"/>
  <c r="T62" i="25" s="1"/>
  <c r="AX50" i="25"/>
  <c r="AX62" i="25" s="1"/>
  <c r="X7" i="19"/>
  <c r="V6" i="19"/>
  <c r="X6" i="19" s="1"/>
  <c r="E23" i="23"/>
  <c r="E28" i="23"/>
  <c r="R28" i="23" s="1"/>
  <c r="Q29" i="23"/>
  <c r="Q39" i="23" s="1"/>
  <c r="D7" i="23"/>
  <c r="T11" i="23"/>
  <c r="D13" i="23"/>
  <c r="T17" i="23"/>
  <c r="D19" i="23"/>
  <c r="D25" i="23"/>
  <c r="F29" i="23"/>
  <c r="L29" i="23"/>
  <c r="C32" i="23"/>
  <c r="I32" i="23"/>
  <c r="I40" i="23" s="1"/>
  <c r="O32" i="23"/>
  <c r="O40" i="23" s="1"/>
  <c r="G37" i="23"/>
  <c r="M37" i="23"/>
  <c r="D6" i="23"/>
  <c r="D12" i="23"/>
  <c r="D18" i="23"/>
  <c r="D24" i="23"/>
  <c r="G29" i="23"/>
  <c r="G39" i="23" s="1"/>
  <c r="M29" i="23"/>
  <c r="M39" i="23" s="1"/>
  <c r="D31" i="23"/>
  <c r="J32" i="23"/>
  <c r="J40" i="23" s="1"/>
  <c r="P32" i="23"/>
  <c r="P40" i="23" s="1"/>
  <c r="E36" i="23"/>
  <c r="D10" i="23"/>
  <c r="D16" i="23"/>
  <c r="C29" i="23"/>
  <c r="J37" i="23"/>
  <c r="P37" i="23"/>
  <c r="D9" i="23"/>
  <c r="D15" i="23"/>
  <c r="D21" i="23"/>
  <c r="D22" i="23"/>
  <c r="D23" i="23"/>
  <c r="D27" i="23"/>
  <c r="D28" i="23"/>
  <c r="D29" i="23"/>
  <c r="BJ35" i="15" l="1"/>
  <c r="Q30" i="9"/>
  <c r="Q96" i="9" s="1"/>
  <c r="E50" i="15"/>
  <c r="BJ50" i="15" s="1"/>
  <c r="G36" i="15"/>
  <c r="BK36" i="15" s="1"/>
  <c r="L32" i="7"/>
  <c r="L35" i="7" s="1"/>
  <c r="L68" i="7" s="1"/>
  <c r="L63" i="7"/>
  <c r="S43" i="15"/>
  <c r="S69" i="15" s="1"/>
  <c r="K101" i="9"/>
  <c r="T27" i="18"/>
  <c r="T47" i="18" s="1"/>
  <c r="D15" i="9"/>
  <c r="D94" i="9" s="1"/>
  <c r="C14" i="7"/>
  <c r="E66" i="7"/>
  <c r="C36" i="14" s="1"/>
  <c r="BA49" i="15"/>
  <c r="BA70" i="15" s="1"/>
  <c r="Q40" i="23"/>
  <c r="BA8" i="15"/>
  <c r="BA64" i="15" s="1"/>
  <c r="L30" i="9"/>
  <c r="L96" i="9" s="1"/>
  <c r="M30" i="9"/>
  <c r="M96" i="9" s="1"/>
  <c r="F35" i="7"/>
  <c r="AH24" i="18"/>
  <c r="W6" i="19"/>
  <c r="C108" i="14" s="1"/>
  <c r="H19" i="18"/>
  <c r="AH19" i="18" s="1"/>
  <c r="E22" i="18"/>
  <c r="AF27" i="18"/>
  <c r="AF47" i="18" s="1"/>
  <c r="D56" i="9"/>
  <c r="D104" i="9" s="1"/>
  <c r="E25" i="18"/>
  <c r="O30" i="9"/>
  <c r="O96" i="9" s="1"/>
  <c r="AH26" i="18"/>
  <c r="B32" i="15"/>
  <c r="B67" i="15" s="1"/>
  <c r="D32" i="23"/>
  <c r="E13" i="25"/>
  <c r="F30" i="18"/>
  <c r="D13" i="7"/>
  <c r="D65" i="7" s="1"/>
  <c r="D101" i="9"/>
  <c r="M16" i="15"/>
  <c r="M65" i="15" s="1"/>
  <c r="AX60" i="25"/>
  <c r="D103" i="9"/>
  <c r="D102" i="9"/>
  <c r="I56" i="25"/>
  <c r="BK33" i="15"/>
  <c r="E47" i="15"/>
  <c r="BJ47" i="15" s="1"/>
  <c r="BJ33" i="15"/>
  <c r="BA43" i="15"/>
  <c r="BA69" i="15" s="1"/>
  <c r="BA24" i="15"/>
  <c r="BA66" i="15" s="1"/>
  <c r="E17" i="15"/>
  <c r="G17" i="15" s="1"/>
  <c r="BK17" i="15" s="1"/>
  <c r="D29" i="9"/>
  <c r="D95" i="9" s="1"/>
  <c r="D97" i="9"/>
  <c r="D64" i="7"/>
  <c r="D99" i="9"/>
  <c r="F44" i="18"/>
  <c r="C76" i="1"/>
  <c r="C88" i="1" s="1"/>
  <c r="D26" i="14" s="1"/>
  <c r="S22" i="23"/>
  <c r="R37" i="23"/>
  <c r="G51" i="15"/>
  <c r="BK51" i="15" s="1"/>
  <c r="G45" i="15"/>
  <c r="BK45" i="15" s="1"/>
  <c r="AU64" i="15"/>
  <c r="AU53" i="15"/>
  <c r="AU71" i="15" s="1"/>
  <c r="B66" i="15"/>
  <c r="BC17" i="15"/>
  <c r="BC16" i="15" s="1"/>
  <c r="BC65" i="15" s="1"/>
  <c r="BB53" i="15"/>
  <c r="BB71" i="15" s="1"/>
  <c r="L46" i="18"/>
  <c r="L27" i="18"/>
  <c r="AI64" i="15"/>
  <c r="AI53" i="15"/>
  <c r="AI71" i="15" s="1"/>
  <c r="Y53" i="15"/>
  <c r="Y71" i="15" s="1"/>
  <c r="Y64" i="15"/>
  <c r="G34" i="15"/>
  <c r="BK34" i="15" s="1"/>
  <c r="S64" i="15"/>
  <c r="S53" i="15"/>
  <c r="S71" i="15" s="1"/>
  <c r="V27" i="18"/>
  <c r="V47" i="18" s="1"/>
  <c r="F53" i="15"/>
  <c r="F71" i="15" s="1"/>
  <c r="C55" i="9"/>
  <c r="E103" i="9"/>
  <c r="C58" i="14" s="1"/>
  <c r="R55" i="9"/>
  <c r="F95" i="9"/>
  <c r="E29" i="9"/>
  <c r="F30" i="9"/>
  <c r="H63" i="7"/>
  <c r="H32" i="7"/>
  <c r="G68" i="7"/>
  <c r="G37" i="7"/>
  <c r="E46" i="25"/>
  <c r="E50" i="25"/>
  <c r="BE65" i="25"/>
  <c r="BE63" i="25"/>
  <c r="AK65" i="25"/>
  <c r="AK63" i="25"/>
  <c r="D68" i="15"/>
  <c r="BJ51" i="15"/>
  <c r="BJ45" i="15"/>
  <c r="AO64" i="15"/>
  <c r="AO53" i="15"/>
  <c r="AO71" i="15" s="1"/>
  <c r="BC33" i="15"/>
  <c r="BC32" i="15" s="1"/>
  <c r="BC67" i="15" s="1"/>
  <c r="M32" i="15"/>
  <c r="M67" i="15" s="1"/>
  <c r="BC24" i="15"/>
  <c r="BC66" i="15" s="1"/>
  <c r="G11" i="15"/>
  <c r="BK11" i="15" s="1"/>
  <c r="F50" i="18"/>
  <c r="E43" i="9"/>
  <c r="E101" i="9" s="1"/>
  <c r="C56" i="14" s="1"/>
  <c r="AK64" i="15"/>
  <c r="AK53" i="15"/>
  <c r="AK71" i="15" s="1"/>
  <c r="F19" i="18"/>
  <c r="F46" i="18" s="1"/>
  <c r="F45" i="18"/>
  <c r="F43" i="18"/>
  <c r="G25" i="15"/>
  <c r="BK25" i="15" s="1"/>
  <c r="G10" i="15"/>
  <c r="BK10" i="15" s="1"/>
  <c r="BJ34" i="15"/>
  <c r="G12" i="15"/>
  <c r="BK12" i="15" s="1"/>
  <c r="Z27" i="18"/>
  <c r="Z47" i="18" s="1"/>
  <c r="B65" i="15"/>
  <c r="P27" i="18"/>
  <c r="P47" i="18" s="1"/>
  <c r="Q67" i="7"/>
  <c r="Q35" i="7"/>
  <c r="N94" i="9"/>
  <c r="N30" i="9"/>
  <c r="N96" i="9" s="1"/>
  <c r="E64" i="7"/>
  <c r="C34" i="14" s="1"/>
  <c r="R7" i="7"/>
  <c r="C7" i="7"/>
  <c r="O32" i="7"/>
  <c r="O63" i="7"/>
  <c r="D53" i="15"/>
  <c r="D71" i="15" s="1"/>
  <c r="C27" i="18"/>
  <c r="C47" i="18" s="1"/>
  <c r="C79" i="14" s="1"/>
  <c r="E13" i="7"/>
  <c r="G40" i="23"/>
  <c r="AT64" i="25"/>
  <c r="AS56" i="25"/>
  <c r="AS63" i="25" s="1"/>
  <c r="AT63" i="25"/>
  <c r="Q63" i="25"/>
  <c r="Q65" i="25"/>
  <c r="L56" i="25"/>
  <c r="AB66" i="25"/>
  <c r="AB63" i="25"/>
  <c r="K40" i="23"/>
  <c r="K62" i="25"/>
  <c r="J50" i="25"/>
  <c r="AV66" i="25"/>
  <c r="AV63" i="25"/>
  <c r="AP65" i="25"/>
  <c r="AP63" i="25"/>
  <c r="BS63" i="25"/>
  <c r="BS64" i="25"/>
  <c r="BR56" i="25"/>
  <c r="BR63" i="25" s="1"/>
  <c r="AG63" i="25"/>
  <c r="AG66" i="25"/>
  <c r="BP63" i="25"/>
  <c r="BP66" i="25"/>
  <c r="AO63" i="25"/>
  <c r="AN56" i="25"/>
  <c r="AO64" i="25"/>
  <c r="BO65" i="25"/>
  <c r="BO63" i="25"/>
  <c r="J7" i="25"/>
  <c r="G46" i="15"/>
  <c r="BK46" i="15" s="1"/>
  <c r="AC64" i="15"/>
  <c r="AC53" i="15"/>
  <c r="AC71" i="15" s="1"/>
  <c r="BA32" i="15"/>
  <c r="BA67" i="15" s="1"/>
  <c r="M24" i="15"/>
  <c r="M66" i="15" s="1"/>
  <c r="D100" i="9"/>
  <c r="C53" i="15"/>
  <c r="C71" i="15" s="1"/>
  <c r="C64" i="15"/>
  <c r="G23" i="15"/>
  <c r="BK23" i="15" s="1"/>
  <c r="J27" i="18"/>
  <c r="E56" i="9"/>
  <c r="E104" i="9" s="1"/>
  <c r="C59" i="14" s="1"/>
  <c r="R37" i="9"/>
  <c r="E99" i="9"/>
  <c r="C54" i="14" s="1"/>
  <c r="C37" i="9"/>
  <c r="K67" i="7"/>
  <c r="K35" i="7"/>
  <c r="D72" i="7"/>
  <c r="D63" i="7"/>
  <c r="B76" i="1"/>
  <c r="C45" i="18"/>
  <c r="C77" i="14" s="1"/>
  <c r="D74" i="7"/>
  <c r="P67" i="7"/>
  <c r="P35" i="7"/>
  <c r="E37" i="23"/>
  <c r="E32" i="23"/>
  <c r="R32" i="23" s="1"/>
  <c r="T22" i="23"/>
  <c r="E29" i="23"/>
  <c r="BI64" i="25"/>
  <c r="BI63" i="25"/>
  <c r="BH56" i="25"/>
  <c r="BH63" i="25" s="1"/>
  <c r="BK63" i="25"/>
  <c r="BK66" i="25"/>
  <c r="B70" i="15"/>
  <c r="K61" i="25"/>
  <c r="J46" i="25"/>
  <c r="U63" i="25"/>
  <c r="U64" i="25"/>
  <c r="T56" i="25"/>
  <c r="T63" i="25" s="1"/>
  <c r="BJ63" i="25"/>
  <c r="BJ65" i="25"/>
  <c r="BF66" i="25"/>
  <c r="BF63" i="25"/>
  <c r="K60" i="25"/>
  <c r="J13" i="25"/>
  <c r="V65" i="25"/>
  <c r="V63" i="25"/>
  <c r="BA63" i="25"/>
  <c r="BA66" i="25"/>
  <c r="AY63" i="25"/>
  <c r="AY64" i="25"/>
  <c r="AX56" i="25"/>
  <c r="AX63" i="25" s="1"/>
  <c r="G56" i="25"/>
  <c r="BD63" i="25"/>
  <c r="BC56" i="25"/>
  <c r="BC63" i="25" s="1"/>
  <c r="BD64" i="25"/>
  <c r="G26" i="15"/>
  <c r="BK26" i="15" s="1"/>
  <c r="M49" i="15"/>
  <c r="M70" i="15" s="1"/>
  <c r="BC50" i="15"/>
  <c r="BC49" i="15" s="1"/>
  <c r="BC70" i="15" s="1"/>
  <c r="BC44" i="15"/>
  <c r="BC43" i="15" s="1"/>
  <c r="BC69" i="15" s="1"/>
  <c r="W64" i="15"/>
  <c r="W53" i="15"/>
  <c r="W71" i="15" s="1"/>
  <c r="BG64" i="15"/>
  <c r="BG53" i="15"/>
  <c r="BG71" i="15" s="1"/>
  <c r="AD46" i="18"/>
  <c r="AD27" i="18"/>
  <c r="E102" i="9"/>
  <c r="C57" i="14" s="1"/>
  <c r="R50" i="9"/>
  <c r="C50" i="9"/>
  <c r="D98" i="9"/>
  <c r="E24" i="15"/>
  <c r="B8" i="15"/>
  <c r="E9" i="15"/>
  <c r="BJ9" i="15" s="1"/>
  <c r="V45" i="18"/>
  <c r="H94" i="9"/>
  <c r="H30" i="9"/>
  <c r="H96" i="9" s="1"/>
  <c r="M67" i="7"/>
  <c r="M35" i="7"/>
  <c r="P94" i="9"/>
  <c r="P30" i="9"/>
  <c r="P96" i="9" s="1"/>
  <c r="D66" i="7"/>
  <c r="C42" i="7"/>
  <c r="R42" i="7"/>
  <c r="E72" i="7"/>
  <c r="C42" i="14" s="1"/>
  <c r="B32" i="7"/>
  <c r="S28" i="23"/>
  <c r="R38" i="23"/>
  <c r="AJ64" i="25"/>
  <c r="AJ63" i="25"/>
  <c r="AI56" i="25"/>
  <c r="AI63" i="25" s="1"/>
  <c r="AQ66" i="25"/>
  <c r="AQ63" i="25"/>
  <c r="P64" i="25"/>
  <c r="K56" i="25"/>
  <c r="P63" i="25"/>
  <c r="O56" i="25"/>
  <c r="O63" i="25" s="1"/>
  <c r="G39" i="15"/>
  <c r="BK39" i="15" s="1"/>
  <c r="B43" i="15"/>
  <c r="E44" i="15"/>
  <c r="BJ44" i="15" s="1"/>
  <c r="BK38" i="15"/>
  <c r="G38" i="15"/>
  <c r="E37" i="15"/>
  <c r="E7" i="25"/>
  <c r="C39" i="23"/>
  <c r="C116" i="14" s="1"/>
  <c r="C40" i="23"/>
  <c r="C117" i="14" s="1"/>
  <c r="E38" i="23"/>
  <c r="T28" i="23"/>
  <c r="H40" i="23"/>
  <c r="L39" i="23"/>
  <c r="L40" i="23"/>
  <c r="Z63" i="25"/>
  <c r="Z64" i="25"/>
  <c r="Y56" i="25"/>
  <c r="Y63" i="25" s="1"/>
  <c r="W63" i="25"/>
  <c r="W66" i="25"/>
  <c r="S63" i="25"/>
  <c r="N56" i="25"/>
  <c r="AE64" i="25"/>
  <c r="AE63" i="25"/>
  <c r="AD56" i="25"/>
  <c r="AD63" i="25" s="1"/>
  <c r="H56" i="25"/>
  <c r="G52" i="15"/>
  <c r="BK52" i="15" s="1"/>
  <c r="G31" i="15"/>
  <c r="BK31" i="15" s="1"/>
  <c r="BA16" i="15"/>
  <c r="BA65" i="15" s="1"/>
  <c r="BC37" i="15"/>
  <c r="BC68" i="15" s="1"/>
  <c r="G27" i="15"/>
  <c r="BK27" i="15" s="1"/>
  <c r="K64" i="15"/>
  <c r="K53" i="15"/>
  <c r="K71" i="15" s="1"/>
  <c r="G40" i="15"/>
  <c r="BK40" i="15" s="1"/>
  <c r="BI53" i="15"/>
  <c r="BI71" i="15" s="1"/>
  <c r="BI64" i="15"/>
  <c r="X46" i="18"/>
  <c r="X27" i="18"/>
  <c r="X47" i="18" s="1"/>
  <c r="G15" i="15"/>
  <c r="BK15" i="15" s="1"/>
  <c r="E32" i="15"/>
  <c r="G20" i="15"/>
  <c r="BK20" i="15" s="1"/>
  <c r="AE53" i="15"/>
  <c r="AE71" i="15" s="1"/>
  <c r="G18" i="15"/>
  <c r="BK18" i="15" s="1"/>
  <c r="AX53" i="15"/>
  <c r="AX71" i="15" s="1"/>
  <c r="AX64" i="15"/>
  <c r="AW53" i="15"/>
  <c r="AW71" i="15" s="1"/>
  <c r="R7" i="9"/>
  <c r="E97" i="9"/>
  <c r="C52" i="14" s="1"/>
  <c r="C7" i="9"/>
  <c r="J94" i="9"/>
  <c r="J30" i="9"/>
  <c r="D73" i="7"/>
  <c r="H17" i="18"/>
  <c r="H45" i="18" s="1"/>
  <c r="H43" i="18"/>
  <c r="E8" i="18"/>
  <c r="H30" i="18"/>
  <c r="E30" i="18" s="1"/>
  <c r="AH8" i="18"/>
  <c r="J32" i="7"/>
  <c r="I32" i="7"/>
  <c r="BN64" i="25"/>
  <c r="BN63" i="25"/>
  <c r="BM56" i="25"/>
  <c r="BM63" i="25" s="1"/>
  <c r="AL63" i="25"/>
  <c r="AL66" i="25"/>
  <c r="F39" i="23"/>
  <c r="F40" i="23"/>
  <c r="M40" i="23"/>
  <c r="R66" i="25"/>
  <c r="R63" i="25"/>
  <c r="M56" i="25"/>
  <c r="BT65" i="25"/>
  <c r="BT63" i="25"/>
  <c r="AZ65" i="25"/>
  <c r="AZ63" i="25"/>
  <c r="AA65" i="25"/>
  <c r="AA63" i="25"/>
  <c r="AU63" i="25"/>
  <c r="AU65" i="25"/>
  <c r="BU66" i="25"/>
  <c r="BU63" i="25"/>
  <c r="AF63" i="25"/>
  <c r="AF65" i="25"/>
  <c r="F56" i="25"/>
  <c r="BJ52" i="15"/>
  <c r="G48" i="15"/>
  <c r="BK48" i="15" s="1"/>
  <c r="BJ38" i="15"/>
  <c r="M8" i="15"/>
  <c r="BC9" i="15"/>
  <c r="BC8" i="15" s="1"/>
  <c r="AZ53" i="15"/>
  <c r="AZ71" i="15" s="1"/>
  <c r="AQ53" i="15"/>
  <c r="AQ71" i="15" s="1"/>
  <c r="AQ64" i="15"/>
  <c r="R46" i="18"/>
  <c r="R27" i="18"/>
  <c r="G28" i="15"/>
  <c r="BK28" i="15" s="1"/>
  <c r="BJ20" i="15"/>
  <c r="G19" i="15"/>
  <c r="BK19" i="15" s="1"/>
  <c r="AY53" i="15"/>
  <c r="AY71" i="15" s="1"/>
  <c r="BJ18" i="15"/>
  <c r="Q64" i="15"/>
  <c r="Q53" i="15"/>
  <c r="Q71" i="15" s="1"/>
  <c r="N27" i="18"/>
  <c r="N47" i="18" s="1"/>
  <c r="AB27" i="18"/>
  <c r="K104" i="9"/>
  <c r="G94" i="9"/>
  <c r="G30" i="9"/>
  <c r="G96" i="9" s="1"/>
  <c r="E15" i="9"/>
  <c r="E6" i="7"/>
  <c r="K58" i="9"/>
  <c r="K105" i="9" s="1"/>
  <c r="E98" i="9"/>
  <c r="C53" i="14" s="1"/>
  <c r="R16" i="9"/>
  <c r="C16" i="9"/>
  <c r="I94" i="9"/>
  <c r="I30" i="9"/>
  <c r="I96" i="9" s="1"/>
  <c r="N32" i="7"/>
  <c r="N63" i="7"/>
  <c r="F68" i="7"/>
  <c r="F37" i="7"/>
  <c r="P18" i="19" l="1"/>
  <c r="C110" i="14" s="1"/>
  <c r="E49" i="15"/>
  <c r="BJ49" i="15" s="1"/>
  <c r="Q58" i="9"/>
  <c r="Q105" i="9" s="1"/>
  <c r="AF28" i="18"/>
  <c r="AF48" i="18" s="1"/>
  <c r="G50" i="15"/>
  <c r="BK50" i="15" s="1"/>
  <c r="M58" i="9"/>
  <c r="L58" i="9"/>
  <c r="L105" i="9" s="1"/>
  <c r="L37" i="7"/>
  <c r="L64" i="9" s="1"/>
  <c r="L67" i="7"/>
  <c r="T28" i="18"/>
  <c r="T48" i="18" s="1"/>
  <c r="D30" i="9"/>
  <c r="D96" i="9" s="1"/>
  <c r="F96" i="9"/>
  <c r="O58" i="9"/>
  <c r="O105" i="9" s="1"/>
  <c r="H46" i="18"/>
  <c r="E19" i="18"/>
  <c r="G32" i="15"/>
  <c r="G67" i="15" s="1"/>
  <c r="C90" i="14" s="1"/>
  <c r="E16" i="15"/>
  <c r="BJ16" i="15" s="1"/>
  <c r="D32" i="7"/>
  <c r="D67" i="7" s="1"/>
  <c r="G47" i="15"/>
  <c r="BK47" i="15" s="1"/>
  <c r="F27" i="18"/>
  <c r="F47" i="18" s="1"/>
  <c r="BJ17" i="15"/>
  <c r="C89" i="1"/>
  <c r="D27" i="14" s="1"/>
  <c r="E70" i="15"/>
  <c r="E67" i="15"/>
  <c r="E68" i="15"/>
  <c r="J62" i="25"/>
  <c r="D62" i="25" s="1"/>
  <c r="C100" i="14" s="1"/>
  <c r="D50" i="25"/>
  <c r="E65" i="7"/>
  <c r="C35" i="14" s="1"/>
  <c r="R13" i="7"/>
  <c r="C13" i="7"/>
  <c r="N58" i="9"/>
  <c r="BJ32" i="15"/>
  <c r="G40" i="7"/>
  <c r="G71" i="7" s="1"/>
  <c r="G38" i="7"/>
  <c r="G56" i="7" s="1"/>
  <c r="G64" i="9"/>
  <c r="G69" i="7"/>
  <c r="G55" i="7"/>
  <c r="F58" i="9"/>
  <c r="E30" i="9"/>
  <c r="E96" i="9" s="1"/>
  <c r="C51" i="14" s="1"/>
  <c r="L28" i="18"/>
  <c r="L48" i="18" s="1"/>
  <c r="L29" i="18"/>
  <c r="L36" i="18" s="1"/>
  <c r="L51" i="18" s="1"/>
  <c r="E39" i="23"/>
  <c r="T29" i="23"/>
  <c r="AN63" i="25"/>
  <c r="E56" i="25"/>
  <c r="G58" i="9"/>
  <c r="G105" i="9" s="1"/>
  <c r="M63" i="25"/>
  <c r="M66" i="25"/>
  <c r="D66" i="25" s="1"/>
  <c r="C104" i="14" s="1"/>
  <c r="N63" i="25"/>
  <c r="N67" i="25"/>
  <c r="D67" i="25" s="1"/>
  <c r="C105" i="14" s="1"/>
  <c r="G37" i="15"/>
  <c r="G68" i="15" s="1"/>
  <c r="C91" i="14" s="1"/>
  <c r="B67" i="7"/>
  <c r="B35" i="7"/>
  <c r="P58" i="9"/>
  <c r="G9" i="15"/>
  <c r="G8" i="15" s="1"/>
  <c r="E8" i="15"/>
  <c r="E40" i="23"/>
  <c r="T32" i="23"/>
  <c r="B89" i="1"/>
  <c r="C27" i="14" s="1"/>
  <c r="B88" i="1"/>
  <c r="C26" i="14" s="1"/>
  <c r="J28" i="18"/>
  <c r="J48" i="18" s="1"/>
  <c r="J59" i="25"/>
  <c r="D59" i="25" s="1"/>
  <c r="C97" i="14" s="1"/>
  <c r="D7" i="25"/>
  <c r="O67" i="7"/>
  <c r="O35" i="7"/>
  <c r="R29" i="9"/>
  <c r="E95" i="9"/>
  <c r="C50" i="14" s="1"/>
  <c r="C29" i="9"/>
  <c r="L47" i="18"/>
  <c r="BA53" i="15"/>
  <c r="BA71" i="15" s="1"/>
  <c r="N28" i="18"/>
  <c r="N29" i="18" s="1"/>
  <c r="N36" i="18" s="1"/>
  <c r="N51" i="18" s="1"/>
  <c r="E66" i="15"/>
  <c r="AD28" i="18"/>
  <c r="AD48" i="18" s="1"/>
  <c r="I35" i="7"/>
  <c r="I67" i="7"/>
  <c r="J58" i="9"/>
  <c r="N67" i="7"/>
  <c r="N35" i="7"/>
  <c r="J96" i="9"/>
  <c r="S32" i="23"/>
  <c r="B53" i="15"/>
  <c r="BJ8" i="15"/>
  <c r="B64" i="15"/>
  <c r="J61" i="25"/>
  <c r="D61" i="25" s="1"/>
  <c r="C99" i="14" s="1"/>
  <c r="D46" i="25"/>
  <c r="J47" i="18"/>
  <c r="M105" i="9"/>
  <c r="Q68" i="7"/>
  <c r="Q37" i="7"/>
  <c r="Z28" i="18"/>
  <c r="Z29" i="18" s="1"/>
  <c r="V28" i="18"/>
  <c r="V29" i="18" s="1"/>
  <c r="V36" i="18" s="1"/>
  <c r="V51" i="18" s="1"/>
  <c r="BC64" i="15"/>
  <c r="BC53" i="15"/>
  <c r="BC71" i="15" s="1"/>
  <c r="J67" i="7"/>
  <c r="J35" i="7"/>
  <c r="X28" i="18"/>
  <c r="R29" i="23"/>
  <c r="R40" i="23" s="1"/>
  <c r="E43" i="15"/>
  <c r="G44" i="15"/>
  <c r="P68" i="7"/>
  <c r="P37" i="7"/>
  <c r="G24" i="15"/>
  <c r="G66" i="15" s="1"/>
  <c r="C89" i="14" s="1"/>
  <c r="R43" i="9"/>
  <c r="C43" i="9"/>
  <c r="J60" i="25"/>
  <c r="D60" i="25" s="1"/>
  <c r="C98" i="14" s="1"/>
  <c r="D13" i="25"/>
  <c r="I58" i="9"/>
  <c r="I105" i="9" s="1"/>
  <c r="E63" i="7"/>
  <c r="C33" i="14" s="1"/>
  <c r="R6" i="7"/>
  <c r="C6" i="7"/>
  <c r="AB28" i="18"/>
  <c r="AB29" i="18" s="1"/>
  <c r="AB36" i="18" s="1"/>
  <c r="AB51" i="18" s="1"/>
  <c r="F70" i="7"/>
  <c r="F40" i="7"/>
  <c r="F71" i="7" s="1"/>
  <c r="F38" i="7"/>
  <c r="F64" i="9"/>
  <c r="F69" i="7"/>
  <c r="F55" i="7"/>
  <c r="C15" i="9"/>
  <c r="R15" i="9"/>
  <c r="E94" i="9"/>
  <c r="C49" i="14" s="1"/>
  <c r="AB47" i="18"/>
  <c r="R28" i="18"/>
  <c r="R48" i="18" s="1"/>
  <c r="M53" i="15"/>
  <c r="M71" i="15" s="1"/>
  <c r="M64" i="15"/>
  <c r="AH17" i="18"/>
  <c r="E17" i="18"/>
  <c r="H27" i="18"/>
  <c r="H47" i="18" s="1"/>
  <c r="B69" i="15"/>
  <c r="K63" i="25"/>
  <c r="J56" i="25"/>
  <c r="K64" i="25"/>
  <c r="D64" i="25" s="1"/>
  <c r="C102" i="14" s="1"/>
  <c r="M68" i="7"/>
  <c r="M37" i="7"/>
  <c r="H58" i="9"/>
  <c r="AD47" i="18"/>
  <c r="K68" i="7"/>
  <c r="K37" i="7"/>
  <c r="R56" i="9"/>
  <c r="C56" i="9"/>
  <c r="C28" i="18"/>
  <c r="C48" i="18" s="1"/>
  <c r="C80" i="14" s="1"/>
  <c r="C29" i="18"/>
  <c r="C36" i="18" s="1"/>
  <c r="C51" i="18" s="1"/>
  <c r="C83" i="14" s="1"/>
  <c r="BJ37" i="15"/>
  <c r="H67" i="7"/>
  <c r="H35" i="7"/>
  <c r="E32" i="7"/>
  <c r="G16" i="15"/>
  <c r="G65" i="15" s="1"/>
  <c r="C88" i="14" s="1"/>
  <c r="L63" i="25"/>
  <c r="L65" i="25"/>
  <c r="D65" i="25" s="1"/>
  <c r="C103" i="14" s="1"/>
  <c r="P28" i="18"/>
  <c r="P48" i="18" s="1"/>
  <c r="BJ24" i="15"/>
  <c r="R47" i="18"/>
  <c r="AF29" i="18" l="1"/>
  <c r="AF36" i="18" s="1"/>
  <c r="AF51" i="18" s="1"/>
  <c r="G49" i="15"/>
  <c r="G70" i="15" s="1"/>
  <c r="C93" i="14" s="1"/>
  <c r="L55" i="7"/>
  <c r="L76" i="7" s="1"/>
  <c r="L38" i="7"/>
  <c r="L56" i="7" s="1"/>
  <c r="L40" i="7"/>
  <c r="L71" i="7" s="1"/>
  <c r="L69" i="7"/>
  <c r="T29" i="18"/>
  <c r="C49" i="18"/>
  <c r="C81" i="14" s="1"/>
  <c r="AD29" i="18"/>
  <c r="AD36" i="18" s="1"/>
  <c r="AD51" i="18" s="1"/>
  <c r="P29" i="18"/>
  <c r="P36" i="18" s="1"/>
  <c r="P51" i="18" s="1"/>
  <c r="D58" i="9"/>
  <c r="D105" i="9" s="1"/>
  <c r="N48" i="18"/>
  <c r="BK32" i="15"/>
  <c r="G43" i="15"/>
  <c r="G69" i="15" s="1"/>
  <c r="C92" i="14" s="1"/>
  <c r="E65" i="15"/>
  <c r="D35" i="7"/>
  <c r="D68" i="7" s="1"/>
  <c r="AB48" i="18"/>
  <c r="F28" i="18"/>
  <c r="F48" i="18" s="1"/>
  <c r="Z48" i="18"/>
  <c r="X29" i="18"/>
  <c r="X36" i="18" s="1"/>
  <c r="X51" i="18" s="1"/>
  <c r="X48" i="18"/>
  <c r="BK44" i="15"/>
  <c r="BK16" i="15"/>
  <c r="Z36" i="18"/>
  <c r="Z51" i="18" s="1"/>
  <c r="Z49" i="18"/>
  <c r="G64" i="15"/>
  <c r="C87" i="14" s="1"/>
  <c r="C30" i="9"/>
  <c r="R30" i="9"/>
  <c r="M64" i="9"/>
  <c r="M69" i="7"/>
  <c r="M38" i="7"/>
  <c r="M56" i="7" s="1"/>
  <c r="M40" i="7"/>
  <c r="M71" i="7" s="1"/>
  <c r="M55" i="7"/>
  <c r="V48" i="18"/>
  <c r="BK9" i="15"/>
  <c r="E58" i="9"/>
  <c r="F60" i="9"/>
  <c r="F106" i="9" s="1"/>
  <c r="F80" i="9"/>
  <c r="F111" i="9"/>
  <c r="J68" i="7"/>
  <c r="J37" i="7"/>
  <c r="Q69" i="7"/>
  <c r="Q64" i="9"/>
  <c r="Q40" i="7"/>
  <c r="Q71" i="7" s="1"/>
  <c r="Q38" i="7"/>
  <c r="Q56" i="7" s="1"/>
  <c r="Q55" i="7"/>
  <c r="E67" i="7"/>
  <c r="C37" i="14" s="1"/>
  <c r="R32" i="7"/>
  <c r="C32" i="7"/>
  <c r="R29" i="18"/>
  <c r="R36" i="18" s="1"/>
  <c r="R51" i="18" s="1"/>
  <c r="S29" i="23"/>
  <c r="R39" i="23"/>
  <c r="V49" i="18"/>
  <c r="L80" i="9"/>
  <c r="L111" i="9"/>
  <c r="T36" i="18"/>
  <c r="T49" i="18"/>
  <c r="J105" i="9"/>
  <c r="AD49" i="18"/>
  <c r="N49" i="18"/>
  <c r="L49" i="18"/>
  <c r="F105" i="9"/>
  <c r="BK37" i="15"/>
  <c r="N68" i="7"/>
  <c r="N37" i="7"/>
  <c r="K64" i="9"/>
  <c r="K69" i="7"/>
  <c r="K40" i="7"/>
  <c r="K71" i="7" s="1"/>
  <c r="K38" i="7"/>
  <c r="K70" i="7" s="1"/>
  <c r="K55" i="7"/>
  <c r="E69" i="15"/>
  <c r="H68" i="7"/>
  <c r="H37" i="7"/>
  <c r="E35" i="7"/>
  <c r="D56" i="25"/>
  <c r="J63" i="25"/>
  <c r="D63" i="25" s="1"/>
  <c r="C101" i="14" s="1"/>
  <c r="E27" i="18"/>
  <c r="AH27" i="18"/>
  <c r="H28" i="18"/>
  <c r="H29" i="18" s="1"/>
  <c r="F56" i="7"/>
  <c r="AB49" i="18"/>
  <c r="P69" i="7"/>
  <c r="P38" i="7"/>
  <c r="P56" i="7" s="1"/>
  <c r="P40" i="7"/>
  <c r="P71" i="7" s="1"/>
  <c r="P64" i="9"/>
  <c r="P55" i="7"/>
  <c r="B71" i="15"/>
  <c r="BK24" i="15"/>
  <c r="O37" i="7"/>
  <c r="O68" i="7"/>
  <c r="J29" i="18"/>
  <c r="J36" i="18" s="1"/>
  <c r="J51" i="18" s="1"/>
  <c r="P105" i="9"/>
  <c r="G76" i="7"/>
  <c r="G75" i="7"/>
  <c r="G70" i="7"/>
  <c r="B37" i="7"/>
  <c r="B68" i="7"/>
  <c r="I68" i="7"/>
  <c r="I37" i="7"/>
  <c r="H105" i="9"/>
  <c r="BJ43" i="15"/>
  <c r="F75" i="7"/>
  <c r="F76" i="7"/>
  <c r="L70" i="7"/>
  <c r="E64" i="15"/>
  <c r="E53" i="15"/>
  <c r="BK8" i="15"/>
  <c r="G111" i="9"/>
  <c r="G80" i="9"/>
  <c r="N105" i="9"/>
  <c r="AF49" i="18" l="1"/>
  <c r="BK49" i="15"/>
  <c r="L75" i="7"/>
  <c r="P49" i="18"/>
  <c r="D37" i="7"/>
  <c r="D69" i="7" s="1"/>
  <c r="R49" i="18"/>
  <c r="BK43" i="15"/>
  <c r="G53" i="15"/>
  <c r="BK53" i="15" s="1"/>
  <c r="X49" i="18"/>
  <c r="F29" i="18"/>
  <c r="F49" i="18" s="1"/>
  <c r="M70" i="7"/>
  <c r="E71" i="15"/>
  <c r="E29" i="18"/>
  <c r="H36" i="18"/>
  <c r="AH29" i="18"/>
  <c r="J64" i="9"/>
  <c r="J69" i="7"/>
  <c r="J40" i="7"/>
  <c r="J71" i="7" s="1"/>
  <c r="J38" i="7"/>
  <c r="J56" i="7" s="1"/>
  <c r="J55" i="7"/>
  <c r="E28" i="18"/>
  <c r="AH28" i="18"/>
  <c r="L112" i="9"/>
  <c r="L114" i="9"/>
  <c r="Q70" i="7"/>
  <c r="B69" i="7"/>
  <c r="B38" i="7"/>
  <c r="B56" i="7" s="1"/>
  <c r="B70" i="7"/>
  <c r="B40" i="7"/>
  <c r="B71" i="7" s="1"/>
  <c r="B55" i="7"/>
  <c r="C58" i="9"/>
  <c r="R58" i="9"/>
  <c r="E60" i="9"/>
  <c r="E106" i="9" s="1"/>
  <c r="C61" i="14" s="1"/>
  <c r="J49" i="18"/>
  <c r="I38" i="7"/>
  <c r="I56" i="7" s="1"/>
  <c r="I64" i="9"/>
  <c r="I69" i="7"/>
  <c r="I40" i="7"/>
  <c r="I71" i="7" s="1"/>
  <c r="I55" i="7"/>
  <c r="P75" i="7"/>
  <c r="P76" i="7"/>
  <c r="P111" i="9"/>
  <c r="P80" i="9"/>
  <c r="H49" i="18"/>
  <c r="C35" i="7"/>
  <c r="R35" i="7"/>
  <c r="E68" i="7"/>
  <c r="C38" i="14" s="1"/>
  <c r="K76" i="7"/>
  <c r="Q80" i="9"/>
  <c r="Q111" i="9"/>
  <c r="M80" i="9"/>
  <c r="M111" i="9"/>
  <c r="E105" i="9"/>
  <c r="C60" i="14" s="1"/>
  <c r="H64" i="9"/>
  <c r="H55" i="7"/>
  <c r="H38" i="7"/>
  <c r="H70" i="7" s="1"/>
  <c r="H69" i="7"/>
  <c r="H40" i="7"/>
  <c r="H71" i="7" s="1"/>
  <c r="E37" i="7"/>
  <c r="K111" i="9"/>
  <c r="K80" i="9"/>
  <c r="F112" i="9"/>
  <c r="F114" i="9"/>
  <c r="M76" i="7"/>
  <c r="M75" i="7"/>
  <c r="G114" i="9"/>
  <c r="G112" i="9"/>
  <c r="O38" i="7"/>
  <c r="O56" i="7" s="1"/>
  <c r="O40" i="7"/>
  <c r="O71" i="7" s="1"/>
  <c r="O69" i="7"/>
  <c r="O64" i="9"/>
  <c r="O55" i="7"/>
  <c r="BJ53" i="15"/>
  <c r="P70" i="7"/>
  <c r="H48" i="18"/>
  <c r="K56" i="7"/>
  <c r="N64" i="9"/>
  <c r="N38" i="7"/>
  <c r="N56" i="7" s="1"/>
  <c r="N69" i="7"/>
  <c r="N40" i="7"/>
  <c r="N71" i="7" s="1"/>
  <c r="N55" i="7"/>
  <c r="T51" i="18"/>
  <c r="F36" i="18"/>
  <c r="Q75" i="7"/>
  <c r="Q76" i="7"/>
  <c r="F86" i="9"/>
  <c r="G59" i="9"/>
  <c r="J70" i="7" l="1"/>
  <c r="I70" i="7"/>
  <c r="B63" i="15"/>
  <c r="C86" i="14" s="1"/>
  <c r="G71" i="15"/>
  <c r="C94" i="14" s="1"/>
  <c r="D55" i="7"/>
  <c r="D76" i="7" s="1"/>
  <c r="O70" i="7"/>
  <c r="D40" i="7"/>
  <c r="D71" i="7" s="1"/>
  <c r="N70" i="7"/>
  <c r="D38" i="7"/>
  <c r="D70" i="7" s="1"/>
  <c r="F51" i="18"/>
  <c r="J75" i="7"/>
  <c r="J76" i="7"/>
  <c r="Q112" i="9"/>
  <c r="Q114" i="9"/>
  <c r="K114" i="9"/>
  <c r="K112" i="9"/>
  <c r="E40" i="7"/>
  <c r="E71" i="7" s="1"/>
  <c r="C41" i="14" s="1"/>
  <c r="H80" i="9"/>
  <c r="H111" i="9"/>
  <c r="E64" i="9"/>
  <c r="P114" i="9"/>
  <c r="P112" i="9"/>
  <c r="E108" i="9"/>
  <c r="C63" i="14" s="1"/>
  <c r="C60" i="9"/>
  <c r="E86" i="9"/>
  <c r="AH36" i="18"/>
  <c r="E36" i="18"/>
  <c r="H51" i="18"/>
  <c r="F115" i="9"/>
  <c r="F90" i="9"/>
  <c r="F117" i="9" s="1"/>
  <c r="O111" i="9"/>
  <c r="O80" i="9"/>
  <c r="E69" i="7"/>
  <c r="C39" i="14" s="1"/>
  <c r="C37" i="7"/>
  <c r="R37" i="7"/>
  <c r="I75" i="7"/>
  <c r="I76" i="7"/>
  <c r="J111" i="9"/>
  <c r="J80" i="9"/>
  <c r="B76" i="7"/>
  <c r="B75" i="7"/>
  <c r="H56" i="7"/>
  <c r="E56" i="7" s="1"/>
  <c r="E38" i="7"/>
  <c r="E70" i="7" s="1"/>
  <c r="C40" i="14" s="1"/>
  <c r="K75" i="7"/>
  <c r="M114" i="9"/>
  <c r="M112" i="9"/>
  <c r="I80" i="9"/>
  <c r="I111" i="9"/>
  <c r="G87" i="9"/>
  <c r="G116" i="9" s="1"/>
  <c r="G60" i="9"/>
  <c r="G106" i="9" s="1"/>
  <c r="N76" i="7"/>
  <c r="N75" i="7"/>
  <c r="N111" i="9"/>
  <c r="N80" i="9"/>
  <c r="O75" i="7"/>
  <c r="O76" i="7"/>
  <c r="H76" i="7"/>
  <c r="E55" i="7"/>
  <c r="D56" i="7" l="1"/>
  <c r="D75" i="7" s="1"/>
  <c r="H75" i="7"/>
  <c r="O112" i="9"/>
  <c r="O114" i="9"/>
  <c r="E90" i="9"/>
  <c r="E113" i="9" s="1"/>
  <c r="C68" i="14" s="1"/>
  <c r="E115" i="9"/>
  <c r="C70" i="14" s="1"/>
  <c r="I112" i="9"/>
  <c r="I114" i="9"/>
  <c r="G86" i="9"/>
  <c r="H59" i="9"/>
  <c r="N112" i="9"/>
  <c r="N114" i="9"/>
  <c r="C38" i="7"/>
  <c r="R38" i="7"/>
  <c r="B90" i="1"/>
  <c r="C28" i="14" s="1"/>
  <c r="J112" i="9"/>
  <c r="J114" i="9"/>
  <c r="F113" i="9"/>
  <c r="H114" i="9"/>
  <c r="H112" i="9"/>
  <c r="E80" i="9"/>
  <c r="E111" i="9"/>
  <c r="C66" i="14" s="1"/>
  <c r="R64" i="9"/>
  <c r="E75" i="7"/>
  <c r="C45" i="14" s="1"/>
  <c r="R55" i="7"/>
  <c r="E76" i="7"/>
  <c r="C46" i="14" s="1"/>
  <c r="C55" i="7"/>
  <c r="C56" i="7"/>
  <c r="R56" i="7"/>
  <c r="R40" i="7"/>
  <c r="C40" i="7"/>
  <c r="H87" i="9" l="1"/>
  <c r="H116" i="9" s="1"/>
  <c r="H60" i="9"/>
  <c r="E117" i="9"/>
  <c r="C72" i="14" s="1"/>
  <c r="R80" i="9"/>
  <c r="E112" i="9"/>
  <c r="C67" i="14" s="1"/>
  <c r="E114" i="9"/>
  <c r="C69" i="14" s="1"/>
  <c r="G115" i="9"/>
  <c r="G90" i="9"/>
  <c r="G117" i="9" s="1"/>
  <c r="H86" i="9" l="1"/>
  <c r="I59" i="9"/>
  <c r="H106" i="9"/>
  <c r="G113" i="9"/>
  <c r="H90" i="9" l="1"/>
  <c r="H115" i="9"/>
  <c r="I87" i="9"/>
  <c r="I116" i="9" s="1"/>
  <c r="I60" i="9"/>
  <c r="I106" i="9" s="1"/>
  <c r="J59" i="9" l="1"/>
  <c r="I86" i="9"/>
  <c r="H117" i="9"/>
  <c r="H113" i="9"/>
  <c r="I90" i="9" l="1"/>
  <c r="I113" i="9" s="1"/>
  <c r="I115" i="9"/>
  <c r="J87" i="9"/>
  <c r="J116" i="9" s="1"/>
  <c r="J60" i="9"/>
  <c r="K59" i="9" l="1"/>
  <c r="J86" i="9"/>
  <c r="J106" i="9"/>
  <c r="I117" i="9"/>
  <c r="J115" i="9" l="1"/>
  <c r="J90" i="9"/>
  <c r="K87" i="9"/>
  <c r="K116" i="9" s="1"/>
  <c r="D59" i="9"/>
  <c r="K60" i="9"/>
  <c r="L59" i="9" l="1"/>
  <c r="K86" i="9"/>
  <c r="J117" i="9"/>
  <c r="J113" i="9"/>
  <c r="K106" i="9"/>
  <c r="K90" i="9" l="1"/>
  <c r="K117" i="9" s="1"/>
  <c r="K115" i="9"/>
  <c r="L87" i="9"/>
  <c r="L116" i="9" s="1"/>
  <c r="L60" i="9"/>
  <c r="K113" i="9" l="1"/>
  <c r="L106" i="9"/>
  <c r="L86" i="9"/>
  <c r="M59" i="9"/>
  <c r="M87" i="9" l="1"/>
  <c r="M116" i="9" s="1"/>
  <c r="M60" i="9"/>
  <c r="L115" i="9"/>
  <c r="L90" i="9"/>
  <c r="L117" i="9" s="1"/>
  <c r="M86" i="9" l="1"/>
  <c r="N59" i="9"/>
  <c r="L113" i="9"/>
  <c r="M106" i="9"/>
  <c r="N87" i="9" l="1"/>
  <c r="N116" i="9" s="1"/>
  <c r="N60" i="9"/>
  <c r="M115" i="9"/>
  <c r="M90" i="9"/>
  <c r="M117" i="9" s="1"/>
  <c r="N86" i="9" l="1"/>
  <c r="O59" i="9"/>
  <c r="M113" i="9"/>
  <c r="N106" i="9"/>
  <c r="O87" i="9" l="1"/>
  <c r="O116" i="9" s="1"/>
  <c r="O60" i="9"/>
  <c r="N90" i="9"/>
  <c r="N117" i="9" s="1"/>
  <c r="N115" i="9"/>
  <c r="O106" i="9" l="1"/>
  <c r="N113" i="9"/>
  <c r="O86" i="9"/>
  <c r="P59" i="9"/>
  <c r="P87" i="9" l="1"/>
  <c r="P116" i="9" s="1"/>
  <c r="P60" i="9"/>
  <c r="O90" i="9"/>
  <c r="O117" i="9" s="1"/>
  <c r="O115" i="9"/>
  <c r="Q59" i="9" l="1"/>
  <c r="P86" i="9"/>
  <c r="O113" i="9"/>
  <c r="P106" i="9"/>
  <c r="P90" i="9" l="1"/>
  <c r="P117" i="9" s="1"/>
  <c r="P115" i="9"/>
  <c r="Q87" i="9"/>
  <c r="Q116" i="9" s="1"/>
  <c r="Q60" i="9"/>
  <c r="Q86" i="9" l="1"/>
  <c r="Q90" i="9" s="1"/>
  <c r="Q113" i="9" s="1"/>
  <c r="D60" i="9"/>
  <c r="D106" i="9" s="1"/>
  <c r="Q106" i="9"/>
  <c r="P113" i="9"/>
  <c r="Q115" i="9" l="1"/>
  <c r="Q117" i="9"/>
  <c r="R90" i="9"/>
</calcChain>
</file>

<file path=xl/comments1.xml><?xml version="1.0" encoding="utf-8"?>
<comments xmlns="http://schemas.openxmlformats.org/spreadsheetml/2006/main">
  <authors>
    <author>作者</author>
  </authors>
  <commentList>
    <comment ref="B25" authorId="0">
      <text>
        <r>
          <rPr>
            <b/>
            <sz val="9"/>
            <rFont val="宋体"/>
            <family val="3"/>
            <charset val="134"/>
          </rPr>
          <t>lirui:</t>
        </r>
        <r>
          <rPr>
            <sz val="9"/>
            <rFont val="宋体"/>
            <family val="3"/>
            <charset val="134"/>
          </rPr>
          <t xml:space="preserve">
取自后面财务费用表</t>
        </r>
      </text>
    </comment>
    <comment ref="B3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调增业绩以正数列示；调减业绩以负数列示。</t>
        </r>
      </text>
    </comment>
  </commentList>
</comments>
</file>

<file path=xl/sharedStrings.xml><?xml version="1.0" encoding="utf-8"?>
<sst xmlns="http://schemas.openxmlformats.org/spreadsheetml/2006/main" count="1810" uniqueCount="821">
  <si>
    <r>
      <rPr>
        <b/>
        <sz val="14"/>
        <color theme="1"/>
        <rFont val="等线"/>
        <family val="3"/>
        <charset val="134"/>
      </rPr>
      <t>基本信息</t>
    </r>
  </si>
  <si>
    <r>
      <rPr>
        <b/>
        <sz val="11"/>
        <rFont val="等线"/>
        <family val="3"/>
        <charset val="134"/>
      </rPr>
      <t>编制单位：</t>
    </r>
  </si>
  <si>
    <t>上海丰泰置业有限公司</t>
  </si>
  <si>
    <r>
      <rPr>
        <b/>
        <sz val="11"/>
        <rFont val="等线"/>
        <family val="3"/>
        <charset val="134"/>
      </rPr>
      <t>日期：</t>
    </r>
  </si>
  <si>
    <t>2019年06月</t>
  </si>
  <si>
    <t>2018年08月</t>
  </si>
  <si>
    <r>
      <rPr>
        <b/>
        <sz val="11"/>
        <rFont val="等线"/>
        <family val="3"/>
        <charset val="134"/>
      </rPr>
      <t>编制人：</t>
    </r>
  </si>
  <si>
    <t>刘璐</t>
  </si>
  <si>
    <t>2018年09月</t>
  </si>
  <si>
    <t>2018年10月</t>
  </si>
  <si>
    <r>
      <rPr>
        <b/>
        <sz val="14"/>
        <color theme="1"/>
        <rFont val="等线"/>
        <family val="3"/>
        <charset val="134"/>
      </rPr>
      <t>注意事项</t>
    </r>
    <r>
      <rPr>
        <b/>
        <sz val="14"/>
        <color rgb="FFFF0000"/>
        <rFont val="等线"/>
        <family val="3"/>
        <charset val="134"/>
      </rPr>
      <t>（切记！）</t>
    </r>
  </si>
  <si>
    <t>2018年11月</t>
  </si>
  <si>
    <r>
      <rPr>
        <sz val="11"/>
        <color theme="1"/>
        <rFont val="Arial"/>
        <family val="2"/>
      </rPr>
      <t>1</t>
    </r>
    <r>
      <rPr>
        <sz val="11"/>
        <color theme="1"/>
        <rFont val="等线"/>
        <family val="3"/>
        <charset val="134"/>
      </rPr>
      <t>、本套表以法人公司为填报主体，请先填写上面的</t>
    </r>
    <r>
      <rPr>
        <sz val="11"/>
        <color rgb="FFFF0000"/>
        <rFont val="等线"/>
        <family val="3"/>
        <charset val="134"/>
      </rPr>
      <t>基本信息表</t>
    </r>
    <r>
      <rPr>
        <sz val="11"/>
        <color theme="1"/>
        <rFont val="等线"/>
        <family val="3"/>
        <charset val="134"/>
      </rPr>
      <t>，并每月更新。</t>
    </r>
  </si>
  <si>
    <t>2018年12月</t>
  </si>
  <si>
    <r>
      <rPr>
        <sz val="11"/>
        <color theme="1"/>
        <rFont val="Arial"/>
        <family val="2"/>
      </rPr>
      <t>2</t>
    </r>
    <r>
      <rPr>
        <sz val="11"/>
        <color theme="1"/>
        <rFont val="等线"/>
        <family val="3"/>
        <charset val="134"/>
      </rPr>
      <t>、所有表的格式均不要做变动，除了标明可以进行插行的几个表外，其他表都</t>
    </r>
    <r>
      <rPr>
        <sz val="11"/>
        <color rgb="FFFF0000"/>
        <rFont val="等线"/>
        <family val="3"/>
        <charset val="134"/>
      </rPr>
      <t>不可以</t>
    </r>
    <r>
      <rPr>
        <sz val="11"/>
        <color theme="1"/>
        <rFont val="等线"/>
        <family val="3"/>
        <charset val="134"/>
      </rPr>
      <t>进行插行、删行等，但可以改变行宽，列宽。</t>
    </r>
  </si>
  <si>
    <t>2019年01月</t>
  </si>
  <si>
    <r>
      <rPr>
        <sz val="11"/>
        <color theme="1"/>
        <rFont val="Arial"/>
        <family val="2"/>
      </rPr>
      <t>3</t>
    </r>
    <r>
      <rPr>
        <sz val="11"/>
        <color theme="1"/>
        <rFont val="等线"/>
        <family val="3"/>
        <charset val="134"/>
      </rPr>
      <t>、各表格中，凡有公式的单元格，</t>
    </r>
    <r>
      <rPr>
        <sz val="11"/>
        <color rgb="FFFF0000"/>
        <rFont val="等线"/>
        <family val="3"/>
        <charset val="134"/>
      </rPr>
      <t>不要</t>
    </r>
    <r>
      <rPr>
        <sz val="11"/>
        <color theme="1"/>
        <rFont val="等线"/>
        <family val="3"/>
        <charset val="134"/>
      </rPr>
      <t>进行录入、编辑和修改，以免损坏公式、链接。</t>
    </r>
  </si>
  <si>
    <t>2019年02月</t>
  </si>
  <si>
    <r>
      <rPr>
        <sz val="11"/>
        <color theme="1"/>
        <rFont val="Arial"/>
        <family val="2"/>
      </rPr>
      <t>4</t>
    </r>
    <r>
      <rPr>
        <sz val="11"/>
        <color theme="1"/>
        <rFont val="等线"/>
        <family val="3"/>
        <charset val="134"/>
      </rPr>
      <t>、表中需要填写数值及文字内容的空白单元格格式都已经进行了设置，粘贴内容时请使用</t>
    </r>
    <r>
      <rPr>
        <sz val="11"/>
        <color rgb="FFFF0000"/>
        <rFont val="等线"/>
        <family val="3"/>
        <charset val="134"/>
      </rPr>
      <t>选择性粘贴</t>
    </r>
    <r>
      <rPr>
        <sz val="11"/>
        <color rgb="FFFF0000"/>
        <rFont val="Arial"/>
        <family val="2"/>
      </rPr>
      <t>-</t>
    </r>
    <r>
      <rPr>
        <sz val="11"/>
        <color rgb="FFFF0000"/>
        <rFont val="等线"/>
        <family val="3"/>
        <charset val="134"/>
      </rPr>
      <t>数值型</t>
    </r>
    <r>
      <rPr>
        <sz val="11"/>
        <color theme="1"/>
        <rFont val="等线"/>
        <family val="3"/>
        <charset val="134"/>
      </rPr>
      <t>（或匹配目标区域格式）。</t>
    </r>
  </si>
  <si>
    <t>2019年03月</t>
  </si>
  <si>
    <r>
      <rPr>
        <sz val="11"/>
        <color theme="1"/>
        <rFont val="Arial"/>
        <family val="2"/>
      </rPr>
      <t>5</t>
    </r>
    <r>
      <rPr>
        <sz val="11"/>
        <color theme="1"/>
        <rFont val="等线"/>
        <family val="3"/>
        <charset val="134"/>
      </rPr>
      <t>、关联方相关数据的三张表所指的关联方层级包括美瑞管理范围内、君康管理范围内和大集团内共三个层级，需从</t>
    </r>
    <r>
      <rPr>
        <sz val="11"/>
        <color rgb="FFFF0000"/>
        <rFont val="等线"/>
        <family val="3"/>
        <charset val="134"/>
      </rPr>
      <t>下拉菜单选择</t>
    </r>
    <r>
      <rPr>
        <sz val="11"/>
        <color theme="1"/>
        <rFont val="等线"/>
        <family val="3"/>
        <charset val="134"/>
      </rPr>
      <t>。
关联方现金流，指实际发生了货币资金收付的，请不要根据往来款金额推导。</t>
    </r>
  </si>
  <si>
    <t>2019年04月</t>
  </si>
  <si>
    <r>
      <rPr>
        <sz val="11"/>
        <color theme="1"/>
        <rFont val="Arial"/>
        <family val="2"/>
      </rPr>
      <t>6</t>
    </r>
    <r>
      <rPr>
        <sz val="11"/>
        <color theme="1"/>
        <rFont val="等线"/>
        <family val="3"/>
        <charset val="134"/>
      </rPr>
      <t>、此套表设置了报表审核公式，填完后请</t>
    </r>
    <r>
      <rPr>
        <sz val="11"/>
        <color rgb="FFFF0000"/>
        <rFont val="等线"/>
        <family val="3"/>
        <charset val="134"/>
      </rPr>
      <t>确保审核公式的数值为</t>
    </r>
    <r>
      <rPr>
        <sz val="11"/>
        <color rgb="FFFF0000"/>
        <rFont val="Arial"/>
        <family val="2"/>
      </rPr>
      <t>“-”</t>
    </r>
    <r>
      <rPr>
        <sz val="11"/>
        <color theme="1"/>
        <rFont val="等线"/>
        <family val="3"/>
        <charset val="134"/>
      </rPr>
      <t>，如有特殊情况，请联系总部报表人员并备注原因。审核公式汇总见下表。</t>
    </r>
  </si>
  <si>
    <t>2019年05月</t>
  </si>
  <si>
    <r>
      <rPr>
        <b/>
        <sz val="14"/>
        <color theme="1"/>
        <rFont val="等线"/>
        <family val="3"/>
        <charset val="134"/>
      </rPr>
      <t>报表审核公式</t>
    </r>
  </si>
  <si>
    <t>2019年07月</t>
  </si>
  <si>
    <r>
      <rPr>
        <b/>
        <sz val="11"/>
        <color theme="1"/>
        <rFont val="等线"/>
        <family val="3"/>
        <charset val="134"/>
      </rPr>
      <t>项目</t>
    </r>
  </si>
  <si>
    <r>
      <rPr>
        <b/>
        <sz val="11"/>
        <color theme="1"/>
        <rFont val="等线"/>
        <family val="3"/>
        <charset val="134"/>
      </rPr>
      <t>审核结果（显示差异数）</t>
    </r>
  </si>
  <si>
    <t>2019年08月</t>
  </si>
  <si>
    <r>
      <rPr>
        <b/>
        <sz val="11"/>
        <color theme="1"/>
        <rFont val="Arial"/>
        <family val="2"/>
      </rPr>
      <t>1</t>
    </r>
    <r>
      <rPr>
        <b/>
        <sz val="11"/>
        <color theme="1"/>
        <rFont val="等线"/>
        <family val="3"/>
        <charset val="134"/>
      </rPr>
      <t>、资产负债表</t>
    </r>
  </si>
  <si>
    <r>
      <rPr>
        <b/>
        <sz val="11"/>
        <rFont val="等线"/>
        <family val="3"/>
        <charset val="134"/>
      </rPr>
      <t>期末余额</t>
    </r>
  </si>
  <si>
    <r>
      <rPr>
        <b/>
        <sz val="11"/>
        <rFont val="等线"/>
        <family val="3"/>
        <charset val="134"/>
      </rPr>
      <t>年初余额</t>
    </r>
  </si>
  <si>
    <r>
      <rPr>
        <b/>
        <sz val="11"/>
        <color rgb="FFFF0000"/>
        <rFont val="等线"/>
        <family val="3"/>
        <charset val="134"/>
      </rPr>
      <t>备注</t>
    </r>
  </si>
  <si>
    <t>2019年09月</t>
  </si>
  <si>
    <r>
      <rPr>
        <sz val="10"/>
        <color theme="1"/>
        <rFont val="宋体"/>
        <family val="3"/>
        <charset val="134"/>
      </rPr>
      <t>流动资产合计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流动资产各明细项目相加</t>
    </r>
  </si>
  <si>
    <t>2019年10月</t>
  </si>
  <si>
    <r>
      <rPr>
        <sz val="10"/>
        <color theme="1"/>
        <rFont val="宋体"/>
        <family val="3"/>
        <charset val="134"/>
      </rPr>
      <t>存货</t>
    </r>
    <r>
      <rPr>
        <sz val="10"/>
        <color theme="1"/>
        <rFont val="Arial"/>
        <family val="2"/>
      </rPr>
      <t>&gt;=</t>
    </r>
    <r>
      <rPr>
        <sz val="10"/>
        <color theme="1"/>
        <rFont val="宋体"/>
        <family val="3"/>
        <charset val="134"/>
      </rPr>
      <t>开发成本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开发商品</t>
    </r>
  </si>
  <si>
    <t>2019年11月</t>
  </si>
  <si>
    <r>
      <rPr>
        <sz val="10"/>
        <color theme="1"/>
        <rFont val="宋体"/>
        <family val="3"/>
        <charset val="134"/>
      </rPr>
      <t>非流动资产合计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非流动资产各明细项目相加</t>
    </r>
  </si>
  <si>
    <t>2019年12月</t>
  </si>
  <si>
    <r>
      <rPr>
        <sz val="10"/>
        <color theme="1"/>
        <rFont val="宋体"/>
        <family val="3"/>
        <charset val="134"/>
      </rPr>
      <t>资产总计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流动资产合计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非流动资产合计</t>
    </r>
  </si>
  <si>
    <t>2020年01月</t>
  </si>
  <si>
    <r>
      <rPr>
        <sz val="10"/>
        <color theme="1"/>
        <rFont val="宋体"/>
        <family val="3"/>
        <charset val="134"/>
      </rPr>
      <t>流动负债合计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流动负债各明细项目相加</t>
    </r>
  </si>
  <si>
    <t>2020年02月</t>
  </si>
  <si>
    <r>
      <rPr>
        <sz val="10"/>
        <color theme="1"/>
        <rFont val="宋体"/>
        <family val="3"/>
        <charset val="134"/>
      </rPr>
      <t>非流动负债合计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非流动负债各明细项目相加</t>
    </r>
  </si>
  <si>
    <t>2020年03月</t>
  </si>
  <si>
    <r>
      <rPr>
        <sz val="10"/>
        <color theme="1"/>
        <rFont val="宋体"/>
        <family val="3"/>
        <charset val="134"/>
      </rPr>
      <t>负债合计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流动负债合计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非流动负债合计</t>
    </r>
  </si>
  <si>
    <t>2020年04月</t>
  </si>
  <si>
    <r>
      <rPr>
        <sz val="10"/>
        <color theme="1"/>
        <rFont val="宋体"/>
        <family val="3"/>
        <charset val="134"/>
      </rPr>
      <t>归属于母公司所有者权益合计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明细合计</t>
    </r>
  </si>
  <si>
    <t>2020年05月</t>
  </si>
  <si>
    <r>
      <rPr>
        <sz val="10"/>
        <color theme="1"/>
        <rFont val="宋体"/>
        <family val="3"/>
        <charset val="134"/>
      </rPr>
      <t>所有者（或股东）权益合计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归属于母公司所有者权益合计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少数股东权益</t>
    </r>
  </si>
  <si>
    <t>2020年06月</t>
  </si>
  <si>
    <r>
      <rPr>
        <sz val="10"/>
        <color theme="1"/>
        <rFont val="宋体"/>
        <family val="3"/>
        <charset val="134"/>
      </rPr>
      <t>负债和所有者（或股东）权益总计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负债合计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所有者（或股东）权益合计</t>
    </r>
  </si>
  <si>
    <t>2020年07月</t>
  </si>
  <si>
    <r>
      <rPr>
        <sz val="10"/>
        <color theme="1"/>
        <rFont val="宋体"/>
        <family val="3"/>
        <charset val="134"/>
      </rPr>
      <t>资产总计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负债和所有者（或股东）权益总计</t>
    </r>
  </si>
  <si>
    <t>2020年08月</t>
  </si>
  <si>
    <r>
      <rPr>
        <sz val="10"/>
        <color theme="1"/>
        <rFont val="宋体"/>
        <family val="3"/>
        <charset val="134"/>
      </rPr>
      <t>未分配利润期末余额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年初余额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利润表归属于母公司所有者净利润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提取盈余公积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对所有者的分配</t>
    </r>
  </si>
  <si>
    <r>
      <rPr>
        <sz val="9"/>
        <color rgb="FFFF0000"/>
        <rFont val="等线"/>
        <family val="3"/>
        <charset val="134"/>
      </rPr>
      <t>如有其它情况导致差异请注明</t>
    </r>
  </si>
  <si>
    <t>2020年09月</t>
  </si>
  <si>
    <r>
      <rPr>
        <sz val="10"/>
        <color theme="1"/>
        <rFont val="宋体"/>
        <family val="3"/>
        <charset val="134"/>
      </rPr>
      <t>少数股东权益期末余额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年初余额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利润表少数股东损益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所有者投入资本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对所有者分配</t>
    </r>
  </si>
  <si>
    <t>2020年10月</t>
  </si>
  <si>
    <t>其他综合收益年初余额+利润表归母其他综合收益=其他综合收益期末余额</t>
  </si>
  <si>
    <t>2020年11月</t>
  </si>
  <si>
    <t>2020年12月</t>
  </si>
  <si>
    <r>
      <rPr>
        <b/>
        <sz val="11"/>
        <color theme="1"/>
        <rFont val="Arial"/>
        <family val="2"/>
      </rPr>
      <t>2</t>
    </r>
    <r>
      <rPr>
        <b/>
        <sz val="11"/>
        <color theme="1"/>
        <rFont val="等线"/>
        <family val="3"/>
        <charset val="134"/>
      </rPr>
      <t>、利润表</t>
    </r>
  </si>
  <si>
    <r>
      <rPr>
        <b/>
        <sz val="11"/>
        <rFont val="等线"/>
        <family val="3"/>
        <charset val="134"/>
      </rPr>
      <t>本年累计</t>
    </r>
  </si>
  <si>
    <t>各月份审核见该表下方</t>
  </si>
  <si>
    <t>2021年01月</t>
  </si>
  <si>
    <r>
      <rPr>
        <sz val="10"/>
        <color theme="1"/>
        <rFont val="宋体"/>
        <family val="3"/>
        <charset val="134"/>
      </rPr>
      <t>营业收入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其中</t>
    </r>
    <r>
      <rPr>
        <sz val="10"/>
        <color theme="1"/>
        <rFont val="Arial"/>
        <family val="2"/>
      </rPr>
      <t>:</t>
    </r>
    <r>
      <rPr>
        <sz val="10"/>
        <color theme="1"/>
        <rFont val="宋体"/>
        <family val="3"/>
        <charset val="134"/>
      </rPr>
      <t>营业收入</t>
    </r>
  </si>
  <si>
    <t>2021年02月</t>
  </si>
  <si>
    <r>
      <rPr>
        <sz val="10"/>
        <color theme="1"/>
        <rFont val="宋体"/>
        <family val="3"/>
        <charset val="134"/>
      </rPr>
      <t>其中：营业收入</t>
    </r>
    <r>
      <rPr>
        <sz val="10"/>
        <color theme="1"/>
        <rFont val="Arial"/>
        <family val="2"/>
      </rPr>
      <t>&gt;=</t>
    </r>
    <r>
      <rPr>
        <sz val="10"/>
        <color theme="1"/>
        <rFont val="宋体"/>
        <family val="3"/>
        <charset val="134"/>
      </rPr>
      <t>其中项合计</t>
    </r>
  </si>
  <si>
    <t>2021年03月</t>
  </si>
  <si>
    <r>
      <rPr>
        <sz val="10"/>
        <color theme="1"/>
        <rFont val="宋体"/>
        <family val="3"/>
        <charset val="134"/>
      </rPr>
      <t>营业总成本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下面明细项合计</t>
    </r>
  </si>
  <si>
    <t>2021年04月</t>
  </si>
  <si>
    <r>
      <rPr>
        <sz val="10"/>
        <color theme="1"/>
        <rFont val="宋体"/>
        <family val="3"/>
        <charset val="134"/>
      </rPr>
      <t>营业成本</t>
    </r>
    <r>
      <rPr>
        <sz val="10"/>
        <color theme="1"/>
        <rFont val="Arial"/>
        <family val="2"/>
      </rPr>
      <t>&gt;=</t>
    </r>
    <r>
      <rPr>
        <sz val="10"/>
        <color theme="1"/>
        <rFont val="宋体"/>
        <family val="3"/>
        <charset val="134"/>
      </rPr>
      <t>其中明细项合计</t>
    </r>
  </si>
  <si>
    <t>2021年05月</t>
  </si>
  <si>
    <r>
      <rPr>
        <sz val="10"/>
        <color theme="1"/>
        <rFont val="宋体"/>
        <family val="3"/>
        <charset val="134"/>
      </rPr>
      <t>营业利润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营业收入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营业总成本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资产减值损失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公允价值变动收益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投资收益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汇兑收益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资产处置收益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其他收益</t>
    </r>
  </si>
  <si>
    <t>2021年06月</t>
  </si>
  <si>
    <r>
      <rPr>
        <sz val="10"/>
        <color theme="1"/>
        <rFont val="宋体"/>
        <family val="3"/>
        <charset val="134"/>
      </rPr>
      <t>利润总额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营业利润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营业外收入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营业外支出</t>
    </r>
  </si>
  <si>
    <t>2021年07月</t>
  </si>
  <si>
    <r>
      <rPr>
        <sz val="10"/>
        <color theme="1"/>
        <rFont val="宋体"/>
        <family val="3"/>
        <charset val="134"/>
      </rPr>
      <t>净利润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利润总额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所得税费用</t>
    </r>
  </si>
  <si>
    <t>2021年08月</t>
  </si>
  <si>
    <r>
      <rPr>
        <sz val="10"/>
        <color theme="1"/>
        <rFont val="宋体"/>
        <family val="3"/>
        <charset val="134"/>
      </rPr>
      <t>净利润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归母净利润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少数股东损益</t>
    </r>
  </si>
  <si>
    <t>2021年09月</t>
  </si>
  <si>
    <r>
      <rPr>
        <sz val="10"/>
        <color theme="1"/>
        <rFont val="宋体"/>
        <family val="3"/>
        <charset val="134"/>
      </rPr>
      <t>净利润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持续经营净利润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终止经营净利润</t>
    </r>
  </si>
  <si>
    <t>2021年10月</t>
  </si>
  <si>
    <r>
      <rPr>
        <sz val="10"/>
        <color theme="1"/>
        <rFont val="宋体"/>
        <family val="3"/>
        <charset val="134"/>
      </rPr>
      <t>归母其他综合收益税后净额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以后不能重分类进损益的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以后将重分类进损益的其他综合收益</t>
    </r>
  </si>
  <si>
    <t>2021年11月</t>
  </si>
  <si>
    <r>
      <rPr>
        <sz val="10"/>
        <color theme="1"/>
        <rFont val="宋体"/>
        <family val="3"/>
        <charset val="134"/>
      </rPr>
      <t>以后不能重分类进损益的其他综合收益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下面明细合计</t>
    </r>
  </si>
  <si>
    <t>2021年12月</t>
  </si>
  <si>
    <r>
      <rPr>
        <sz val="10"/>
        <color theme="1"/>
        <rFont val="宋体"/>
        <family val="3"/>
        <charset val="134"/>
      </rPr>
      <t>以后将重分类进损益的其他综合收益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下面明细合计</t>
    </r>
  </si>
  <si>
    <r>
      <rPr>
        <sz val="10"/>
        <color theme="1"/>
        <rFont val="宋体"/>
        <family val="3"/>
        <charset val="134"/>
      </rPr>
      <t>综合收益总额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归母综合收益总额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归少数股东综合收益总额</t>
    </r>
  </si>
  <si>
    <r>
      <rPr>
        <sz val="10"/>
        <color theme="1"/>
        <rFont val="宋体"/>
        <family val="3"/>
        <charset val="134"/>
      </rPr>
      <t>综合收益总额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净利润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其他综合收益</t>
    </r>
  </si>
  <si>
    <r>
      <rPr>
        <b/>
        <sz val="11"/>
        <color theme="1"/>
        <rFont val="Arial"/>
        <family val="2"/>
      </rPr>
      <t>3</t>
    </r>
    <r>
      <rPr>
        <b/>
        <sz val="11"/>
        <color theme="1"/>
        <rFont val="等线"/>
        <family val="3"/>
        <charset val="134"/>
      </rPr>
      <t>、现金流量表</t>
    </r>
  </si>
  <si>
    <r>
      <rPr>
        <sz val="10"/>
        <color theme="1"/>
        <rFont val="宋体"/>
        <family val="3"/>
        <charset val="134"/>
      </rPr>
      <t>经营活动现金流入小计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明细合计</t>
    </r>
  </si>
  <si>
    <r>
      <rPr>
        <sz val="10"/>
        <color theme="1"/>
        <rFont val="宋体"/>
        <family val="3"/>
        <charset val="134"/>
      </rPr>
      <t>经营活动现金流出小计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明细合计</t>
    </r>
  </si>
  <si>
    <r>
      <rPr>
        <sz val="10"/>
        <color theme="1"/>
        <rFont val="宋体"/>
        <family val="3"/>
        <charset val="134"/>
      </rPr>
      <t>经营活动现金净流量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经营流入小计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经营流出小计</t>
    </r>
  </si>
  <si>
    <r>
      <rPr>
        <sz val="10"/>
        <color theme="1"/>
        <rFont val="宋体"/>
        <family val="3"/>
        <charset val="134"/>
      </rPr>
      <t>销售商品、提供劳务收到的现金</t>
    </r>
    <r>
      <rPr>
        <sz val="10"/>
        <color theme="1"/>
        <rFont val="Arial"/>
        <family val="2"/>
      </rPr>
      <t>&gt;=</t>
    </r>
    <r>
      <rPr>
        <sz val="10"/>
        <color theme="1"/>
        <rFont val="宋体"/>
        <family val="3"/>
        <charset val="134"/>
      </rPr>
      <t>其中项合计</t>
    </r>
  </si>
  <si>
    <r>
      <rPr>
        <sz val="10"/>
        <color theme="1"/>
        <rFont val="宋体"/>
        <family val="3"/>
        <charset val="134"/>
      </rPr>
      <t>购买商品、接受劳务支付的现金</t>
    </r>
    <r>
      <rPr>
        <sz val="10"/>
        <color theme="1"/>
        <rFont val="Arial"/>
        <family val="2"/>
      </rPr>
      <t>&gt;=</t>
    </r>
    <r>
      <rPr>
        <sz val="10"/>
        <color theme="1"/>
        <rFont val="宋体"/>
        <family val="3"/>
        <charset val="134"/>
      </rPr>
      <t>其中项合计</t>
    </r>
  </si>
  <si>
    <r>
      <rPr>
        <sz val="10"/>
        <color theme="1"/>
        <rFont val="宋体"/>
        <family val="3"/>
        <charset val="134"/>
      </rPr>
      <t>投资活动现金流入小计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明细合计</t>
    </r>
  </si>
  <si>
    <r>
      <rPr>
        <sz val="10"/>
        <color theme="1"/>
        <rFont val="宋体"/>
        <family val="3"/>
        <charset val="134"/>
      </rPr>
      <t>投资活动现金流出小计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明细合计</t>
    </r>
  </si>
  <si>
    <r>
      <rPr>
        <sz val="10"/>
        <color theme="1"/>
        <rFont val="宋体"/>
        <family val="3"/>
        <charset val="134"/>
      </rPr>
      <t>投资活动现金净流量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投资流入小计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投资流出小计</t>
    </r>
  </si>
  <si>
    <r>
      <rPr>
        <sz val="10"/>
        <color theme="1"/>
        <rFont val="宋体"/>
        <family val="3"/>
        <charset val="134"/>
      </rPr>
      <t>筹资活动现金流入小计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明细合计</t>
    </r>
  </si>
  <si>
    <r>
      <rPr>
        <sz val="10"/>
        <color theme="1"/>
        <rFont val="宋体"/>
        <family val="3"/>
        <charset val="134"/>
      </rPr>
      <t>筹资活动现金流出小计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明细合计</t>
    </r>
  </si>
  <si>
    <r>
      <rPr>
        <sz val="10"/>
        <color theme="1"/>
        <rFont val="宋体"/>
        <family val="3"/>
        <charset val="134"/>
      </rPr>
      <t>筹资活动现金净流量</t>
    </r>
    <r>
      <rPr>
        <sz val="10"/>
        <color theme="1"/>
        <rFont val="Arial"/>
        <family val="2"/>
      </rPr>
      <t>=</t>
    </r>
    <r>
      <rPr>
        <sz val="10"/>
        <color theme="1"/>
        <rFont val="宋体"/>
        <family val="3"/>
        <charset val="134"/>
      </rPr>
      <t>筹资流入小计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筹资流出小计</t>
    </r>
  </si>
  <si>
    <t>现金及现金等价物净增加额=经营净流量+投资净流量+筹资净流量+汇率变动影响</t>
  </si>
  <si>
    <t>期末现金及现金等价物余额=现金及现金等价物净增加额+期初</t>
  </si>
  <si>
    <t>期初现金及现金等价物余额=资产负债表货币资金期初数</t>
  </si>
  <si>
    <t>如有受限资金请备注</t>
  </si>
  <si>
    <t>期末现金及现金等价物余额=资产负债表货币资金期末数</t>
  </si>
  <si>
    <r>
      <rPr>
        <b/>
        <sz val="11"/>
        <color theme="1"/>
        <rFont val="Arial"/>
        <family val="2"/>
      </rPr>
      <t>3.1</t>
    </r>
    <r>
      <rPr>
        <b/>
        <sz val="11"/>
        <color theme="1"/>
        <rFont val="等线"/>
        <family val="3"/>
        <charset val="134"/>
      </rPr>
      <t>、现金流量表补充资料表</t>
    </r>
  </si>
  <si>
    <t>净利润=利润表净利润</t>
  </si>
  <si>
    <t>经营活动产生的现金流量净额=明细项相加</t>
  </si>
  <si>
    <t>现金及现金等价物净增加额 =现金期末余额-现金期初余额+现金等价物期末余额-现金等价物期初余额</t>
  </si>
  <si>
    <t>经营活动产生的现金流量净额=现金流量表经营活动现金净流量</t>
  </si>
  <si>
    <t>现金的期末余额=现金流量表期末现金及现金等价物余额</t>
  </si>
  <si>
    <t>现金的期初余额=现金流量表期初现金及现金等价物余额</t>
  </si>
  <si>
    <t>现金及现金等价物净增加额 =现金流量表现金及现金等价物增加额</t>
  </si>
  <si>
    <t>4、管理利润表</t>
  </si>
  <si>
    <t>经营收入=明细项之和</t>
  </si>
  <si>
    <t>经营成本&gt;=其中项合计</t>
  </si>
  <si>
    <t>项目毛利=经营收入-经营成本-税金及附加-土增税</t>
  </si>
  <si>
    <t>期间费用=销售费用+管理费用+财务费用</t>
  </si>
  <si>
    <t>税前利润=毛利-期间费用+营业外收支净额</t>
  </si>
  <si>
    <t>所得税=税前利润*25%</t>
  </si>
  <si>
    <t>税后净利润=税前利润-所得税</t>
  </si>
  <si>
    <t>内部业绩调整=明细项之和</t>
  </si>
  <si>
    <t>内部业绩贡献利润=税后净利润+内部业绩调整</t>
  </si>
  <si>
    <r>
      <rPr>
        <b/>
        <sz val="11"/>
        <color theme="1"/>
        <rFont val="Arial"/>
        <family val="2"/>
      </rPr>
      <t>5</t>
    </r>
    <r>
      <rPr>
        <b/>
        <sz val="11"/>
        <color theme="1"/>
        <rFont val="宋体"/>
        <family val="3"/>
        <charset val="134"/>
      </rPr>
      <t>、开发成本表</t>
    </r>
  </si>
  <si>
    <t>期末余额</t>
  </si>
  <si>
    <t>各项目审核见该表下方</t>
  </si>
  <si>
    <t>开发成本期末余额=资产负债表开发成本期末余额</t>
  </si>
  <si>
    <t>土地费用=明细合计</t>
  </si>
  <si>
    <t>开发前期准备费=明细合计</t>
  </si>
  <si>
    <t>建筑安装工程费=明细合计</t>
  </si>
  <si>
    <t>基础设施费=明细合计</t>
  </si>
  <si>
    <t>公共配套设施费=明细合计</t>
  </si>
  <si>
    <t>开发间接费=明细合计</t>
  </si>
  <si>
    <t>资本化利息=明细合计</t>
  </si>
  <si>
    <t>合计=明细合计</t>
  </si>
  <si>
    <t>6、总体费用表</t>
  </si>
  <si>
    <t>人工费用小计=明细合计</t>
  </si>
  <si>
    <t>费用支出小计=明细合计</t>
  </si>
  <si>
    <t>折旧摊销小计=明细合计</t>
  </si>
  <si>
    <t>财务费用小计=明细合计</t>
  </si>
  <si>
    <t>销售费用合计校验</t>
  </si>
  <si>
    <t>管理费用合计校验</t>
  </si>
  <si>
    <t>财务费用合计校验</t>
  </si>
  <si>
    <t>开发间接费合计校验</t>
  </si>
  <si>
    <r>
      <rPr>
        <b/>
        <sz val="11"/>
        <color theme="1"/>
        <rFont val="Arial"/>
        <family val="2"/>
      </rPr>
      <t>7</t>
    </r>
    <r>
      <rPr>
        <b/>
        <sz val="11"/>
        <color theme="1"/>
        <rFont val="宋体"/>
        <family val="3"/>
        <charset val="134"/>
      </rPr>
      <t>、融资表</t>
    </r>
  </si>
  <si>
    <t>本年利息支出=其中本年费用化利息支出+其中资本化利息支出</t>
  </si>
  <si>
    <t>本年费用化利息支出=财务费用明细表利息支出</t>
  </si>
  <si>
    <t>累计资本化利息支出=开发成本表累计资本化借款利息</t>
  </si>
  <si>
    <r>
      <rPr>
        <b/>
        <sz val="11"/>
        <color theme="1"/>
        <rFont val="Arial"/>
        <family val="2"/>
      </rPr>
      <t>8</t>
    </r>
    <r>
      <rPr>
        <b/>
        <sz val="11"/>
        <color theme="1"/>
        <rFont val="宋体"/>
        <family val="3"/>
        <charset val="134"/>
      </rPr>
      <t>、税费表</t>
    </r>
  </si>
  <si>
    <t>增值税&gt;=预交增值税+已交税金</t>
  </si>
  <si>
    <t>税项合计=明细之和</t>
  </si>
  <si>
    <t>地方性收费合计=明细之和</t>
  </si>
  <si>
    <t>税费合计=明细之和</t>
  </si>
  <si>
    <t>税费总计=明细之和</t>
  </si>
  <si>
    <r>
      <rPr>
        <b/>
        <sz val="14"/>
        <rFont val="宋体"/>
        <family val="3"/>
        <charset val="134"/>
      </rPr>
      <t>目录</t>
    </r>
  </si>
  <si>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</si>
  <si>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名称</t>
    </r>
  </si>
  <si>
    <r>
      <rPr>
        <sz val="11"/>
        <rFont val="宋体"/>
        <family val="3"/>
        <charset val="134"/>
      </rPr>
      <t>资产负债表</t>
    </r>
  </si>
  <si>
    <r>
      <rPr>
        <sz val="11"/>
        <rFont val="宋体"/>
        <family val="3"/>
        <charset val="134"/>
      </rPr>
      <t>会计利润表</t>
    </r>
  </si>
  <si>
    <r>
      <rPr>
        <sz val="11"/>
        <rFont val="宋体"/>
        <family val="3"/>
        <charset val="134"/>
      </rPr>
      <t>现金流量表</t>
    </r>
  </si>
  <si>
    <r>
      <rPr>
        <sz val="11"/>
        <rFont val="宋体"/>
        <family val="3"/>
        <charset val="134"/>
      </rPr>
      <t>管理利润表</t>
    </r>
  </si>
  <si>
    <r>
      <rPr>
        <sz val="11"/>
        <rFont val="宋体"/>
        <family val="3"/>
        <charset val="134"/>
      </rPr>
      <t>开发成本明细表</t>
    </r>
  </si>
  <si>
    <t>总体费用明细表</t>
  </si>
  <si>
    <t>融资明细表</t>
  </si>
  <si>
    <r>
      <rPr>
        <sz val="11"/>
        <rFont val="宋体"/>
        <family val="3"/>
        <charset val="134"/>
      </rPr>
      <t>税费统计表</t>
    </r>
  </si>
  <si>
    <r>
      <rPr>
        <sz val="11"/>
        <rFont val="宋体"/>
        <family val="3"/>
        <charset val="134"/>
      </rPr>
      <t>关联方交易表</t>
    </r>
  </si>
  <si>
    <r>
      <rPr>
        <sz val="11"/>
        <rFont val="宋体"/>
        <family val="3"/>
        <charset val="134"/>
      </rPr>
      <t>关联方往来款</t>
    </r>
  </si>
  <si>
    <r>
      <rPr>
        <sz val="11"/>
        <rFont val="宋体"/>
        <family val="3"/>
        <charset val="134"/>
      </rPr>
      <t>关联方现金流</t>
    </r>
  </si>
  <si>
    <r>
      <rPr>
        <sz val="11"/>
        <rFont val="宋体"/>
        <family val="3"/>
        <charset val="134"/>
      </rPr>
      <t>其他事项</t>
    </r>
  </si>
  <si>
    <t>资产负债表</t>
  </si>
  <si>
    <t>单位：人民币元</t>
  </si>
  <si>
    <r>
      <rPr>
        <b/>
        <sz val="9"/>
        <color indexed="8"/>
        <rFont val="宋体"/>
        <family val="3"/>
        <charset val="134"/>
      </rPr>
      <t>项</t>
    </r>
    <r>
      <rPr>
        <b/>
        <sz val="9"/>
        <color indexed="8"/>
        <rFont val="Arial"/>
        <family val="2"/>
      </rPr>
      <t xml:space="preserve">    </t>
    </r>
    <r>
      <rPr>
        <b/>
        <sz val="9"/>
        <color indexed="8"/>
        <rFont val="宋体"/>
        <family val="3"/>
        <charset val="134"/>
      </rPr>
      <t>目</t>
    </r>
  </si>
  <si>
    <r>
      <rPr>
        <b/>
        <sz val="9"/>
        <color indexed="8"/>
        <rFont val="宋体"/>
        <family val="3"/>
        <charset val="134"/>
      </rPr>
      <t>期末余额</t>
    </r>
  </si>
  <si>
    <r>
      <rPr>
        <b/>
        <sz val="9"/>
        <color indexed="8"/>
        <rFont val="宋体"/>
        <family val="3"/>
        <charset val="134"/>
      </rPr>
      <t>年初余额</t>
    </r>
  </si>
  <si>
    <r>
      <rPr>
        <b/>
        <sz val="9"/>
        <color indexed="8"/>
        <rFont val="宋体"/>
        <family val="3"/>
        <charset val="134"/>
      </rPr>
      <t>流动资产：</t>
    </r>
  </si>
  <si>
    <t>——</t>
  </si>
  <si>
    <r>
      <rPr>
        <sz val="9"/>
        <color indexed="8"/>
        <rFont val="宋体"/>
        <family val="3"/>
        <charset val="134"/>
      </rPr>
      <t>货币资金</t>
    </r>
  </si>
  <si>
    <r>
      <rPr>
        <sz val="9"/>
        <color indexed="8"/>
        <rFont val="宋体"/>
        <family val="3"/>
        <charset val="134"/>
      </rPr>
      <t>以公允价值计量且其变动计入当期损益的金融资产</t>
    </r>
  </si>
  <si>
    <r>
      <rPr>
        <sz val="9"/>
        <color indexed="8"/>
        <rFont val="宋体"/>
        <family val="3"/>
        <charset val="134"/>
      </rPr>
      <t>衍生金融资产</t>
    </r>
  </si>
  <si>
    <t>应收票据及应收账款</t>
  </si>
  <si>
    <r>
      <rPr>
        <sz val="9"/>
        <color indexed="8"/>
        <rFont val="宋体"/>
        <family val="3"/>
        <charset val="134"/>
      </rPr>
      <t>预付款项</t>
    </r>
  </si>
  <si>
    <r>
      <rPr>
        <sz val="9"/>
        <color indexed="8"/>
        <rFont val="宋体"/>
        <family val="3"/>
        <charset val="134"/>
      </rPr>
      <t>其他应收款</t>
    </r>
  </si>
  <si>
    <r>
      <rPr>
        <sz val="9"/>
        <color indexed="8"/>
        <rFont val="宋体"/>
        <family val="3"/>
        <charset val="134"/>
      </rPr>
      <t>存货</t>
    </r>
  </si>
  <si>
    <r>
      <rPr>
        <sz val="9"/>
        <color indexed="8"/>
        <rFont val="宋体"/>
        <family val="3"/>
        <charset val="134"/>
      </rPr>
      <t>其中：开发成本</t>
    </r>
  </si>
  <si>
    <r>
      <rPr>
        <sz val="9"/>
        <color indexed="8"/>
        <rFont val="宋体"/>
        <family val="3"/>
        <charset val="134"/>
      </rPr>
      <t>开发产品</t>
    </r>
  </si>
  <si>
    <r>
      <rPr>
        <sz val="9"/>
        <color indexed="8"/>
        <rFont val="宋体"/>
        <family val="3"/>
        <charset val="134"/>
      </rPr>
      <t>持有待售资产</t>
    </r>
  </si>
  <si>
    <r>
      <rPr>
        <sz val="9"/>
        <color indexed="8"/>
        <rFont val="宋体"/>
        <family val="3"/>
        <charset val="134"/>
      </rPr>
      <t>一年内到期的非流动资产</t>
    </r>
  </si>
  <si>
    <r>
      <rPr>
        <sz val="9"/>
        <color indexed="8"/>
        <rFont val="宋体"/>
        <family val="3"/>
        <charset val="134"/>
      </rPr>
      <t>其他流动资产</t>
    </r>
  </si>
  <si>
    <r>
      <rPr>
        <b/>
        <sz val="9"/>
        <color indexed="8"/>
        <rFont val="宋体"/>
        <family val="3"/>
        <charset val="134"/>
      </rPr>
      <t>流动资产合计</t>
    </r>
  </si>
  <si>
    <r>
      <rPr>
        <b/>
        <sz val="9"/>
        <color indexed="8"/>
        <rFont val="宋体"/>
        <family val="3"/>
        <charset val="134"/>
      </rPr>
      <t>非流动资产</t>
    </r>
    <r>
      <rPr>
        <b/>
        <sz val="9"/>
        <color indexed="8"/>
        <rFont val="Arial"/>
        <family val="2"/>
      </rPr>
      <t>:</t>
    </r>
  </si>
  <si>
    <r>
      <rPr>
        <sz val="9"/>
        <color indexed="8"/>
        <rFont val="宋体"/>
        <family val="3"/>
        <charset val="134"/>
      </rPr>
      <t>可供出售金融资产</t>
    </r>
  </si>
  <si>
    <r>
      <rPr>
        <sz val="9"/>
        <color indexed="8"/>
        <rFont val="宋体"/>
        <family val="3"/>
        <charset val="134"/>
      </rPr>
      <t>持有至到期投资</t>
    </r>
  </si>
  <si>
    <r>
      <rPr>
        <sz val="9"/>
        <color indexed="8"/>
        <rFont val="宋体"/>
        <family val="3"/>
        <charset val="134"/>
      </rPr>
      <t>长期应收款</t>
    </r>
  </si>
  <si>
    <r>
      <rPr>
        <sz val="9"/>
        <color indexed="8"/>
        <rFont val="宋体"/>
        <family val="3"/>
        <charset val="134"/>
      </rPr>
      <t>长期股权投资</t>
    </r>
  </si>
  <si>
    <r>
      <rPr>
        <sz val="9"/>
        <color indexed="8"/>
        <rFont val="宋体"/>
        <family val="3"/>
        <charset val="134"/>
      </rPr>
      <t>投资性房地产</t>
    </r>
  </si>
  <si>
    <r>
      <rPr>
        <sz val="9"/>
        <color indexed="8"/>
        <rFont val="宋体"/>
        <family val="3"/>
        <charset val="134"/>
      </rPr>
      <t>固定资产</t>
    </r>
  </si>
  <si>
    <r>
      <rPr>
        <sz val="9"/>
        <color indexed="8"/>
        <rFont val="宋体"/>
        <family val="3"/>
        <charset val="134"/>
      </rPr>
      <t>在建工程</t>
    </r>
  </si>
  <si>
    <r>
      <rPr>
        <sz val="9"/>
        <color indexed="8"/>
        <rFont val="宋体"/>
        <family val="3"/>
        <charset val="134"/>
      </rPr>
      <t>生产性生物资产</t>
    </r>
  </si>
  <si>
    <r>
      <rPr>
        <sz val="9"/>
        <color indexed="8"/>
        <rFont val="宋体"/>
        <family val="3"/>
        <charset val="134"/>
      </rPr>
      <t>油气资产</t>
    </r>
  </si>
  <si>
    <r>
      <rPr>
        <sz val="9"/>
        <color indexed="8"/>
        <rFont val="宋体"/>
        <family val="3"/>
        <charset val="134"/>
      </rPr>
      <t>无形资产</t>
    </r>
  </si>
  <si>
    <r>
      <rPr>
        <sz val="9"/>
        <color indexed="8"/>
        <rFont val="宋体"/>
        <family val="3"/>
        <charset val="134"/>
      </rPr>
      <t>开发支出</t>
    </r>
  </si>
  <si>
    <r>
      <rPr>
        <sz val="9"/>
        <color indexed="8"/>
        <rFont val="宋体"/>
        <family val="3"/>
        <charset val="134"/>
      </rPr>
      <t>商誉</t>
    </r>
  </si>
  <si>
    <r>
      <rPr>
        <sz val="9"/>
        <color indexed="8"/>
        <rFont val="宋体"/>
        <family val="3"/>
        <charset val="134"/>
      </rPr>
      <t>长期待摊费用</t>
    </r>
  </si>
  <si>
    <r>
      <rPr>
        <sz val="9"/>
        <color indexed="8"/>
        <rFont val="宋体"/>
        <family val="3"/>
        <charset val="134"/>
      </rPr>
      <t>递延所得税资产</t>
    </r>
  </si>
  <si>
    <r>
      <rPr>
        <sz val="9"/>
        <color indexed="8"/>
        <rFont val="宋体"/>
        <family val="3"/>
        <charset val="134"/>
      </rPr>
      <t>其他非流动资产</t>
    </r>
  </si>
  <si>
    <r>
      <rPr>
        <b/>
        <sz val="9"/>
        <color indexed="8"/>
        <rFont val="宋体"/>
        <family val="3"/>
        <charset val="134"/>
      </rPr>
      <t>非流动资产合计</t>
    </r>
  </si>
  <si>
    <r>
      <rPr>
        <b/>
        <sz val="9"/>
        <color indexed="8"/>
        <rFont val="宋体"/>
        <family val="3"/>
        <charset val="134"/>
      </rPr>
      <t>资产总计</t>
    </r>
  </si>
  <si>
    <r>
      <rPr>
        <b/>
        <sz val="9"/>
        <color indexed="8"/>
        <rFont val="宋体"/>
        <family val="3"/>
        <charset val="134"/>
      </rPr>
      <t>流动负债：</t>
    </r>
  </si>
  <si>
    <r>
      <rPr>
        <sz val="9"/>
        <color indexed="8"/>
        <rFont val="宋体"/>
        <family val="3"/>
        <charset val="134"/>
      </rPr>
      <t>短期借款</t>
    </r>
  </si>
  <si>
    <r>
      <rPr>
        <sz val="9"/>
        <color indexed="8"/>
        <rFont val="宋体"/>
        <family val="3"/>
        <charset val="134"/>
      </rPr>
      <t>以公允价值计量且其变动计入当期损益的金融负债</t>
    </r>
  </si>
  <si>
    <r>
      <rPr>
        <sz val="9"/>
        <color indexed="8"/>
        <rFont val="宋体"/>
        <family val="3"/>
        <charset val="134"/>
      </rPr>
      <t>衍生金融负债</t>
    </r>
  </si>
  <si>
    <t>应付票据及应付账款</t>
  </si>
  <si>
    <r>
      <rPr>
        <sz val="9"/>
        <color indexed="8"/>
        <rFont val="宋体"/>
        <family val="3"/>
        <charset val="134"/>
      </rPr>
      <t>预收款项</t>
    </r>
  </si>
  <si>
    <r>
      <rPr>
        <sz val="9"/>
        <color indexed="8"/>
        <rFont val="宋体"/>
        <family val="3"/>
        <charset val="134"/>
      </rPr>
      <t>应付职工薪酬</t>
    </r>
  </si>
  <si>
    <r>
      <rPr>
        <sz val="9"/>
        <color indexed="8"/>
        <rFont val="宋体"/>
        <family val="3"/>
        <charset val="134"/>
      </rPr>
      <t>应交税费</t>
    </r>
  </si>
  <si>
    <r>
      <rPr>
        <sz val="9"/>
        <color indexed="8"/>
        <rFont val="宋体"/>
        <family val="3"/>
        <charset val="134"/>
      </rPr>
      <t>其他应付款</t>
    </r>
  </si>
  <si>
    <r>
      <rPr>
        <sz val="9"/>
        <color indexed="8"/>
        <rFont val="宋体"/>
        <family val="3"/>
        <charset val="134"/>
      </rPr>
      <t>持有待售负债</t>
    </r>
  </si>
  <si>
    <r>
      <rPr>
        <sz val="9"/>
        <color indexed="8"/>
        <rFont val="宋体"/>
        <family val="3"/>
        <charset val="134"/>
      </rPr>
      <t>一年内到期的非流动负债</t>
    </r>
  </si>
  <si>
    <r>
      <rPr>
        <sz val="9"/>
        <color indexed="8"/>
        <rFont val="宋体"/>
        <family val="3"/>
        <charset val="134"/>
      </rPr>
      <t>其他流动负债</t>
    </r>
  </si>
  <si>
    <r>
      <rPr>
        <b/>
        <sz val="9"/>
        <color indexed="8"/>
        <rFont val="宋体"/>
        <family val="3"/>
        <charset val="134"/>
      </rPr>
      <t>流动负债合计</t>
    </r>
  </si>
  <si>
    <r>
      <rPr>
        <b/>
        <sz val="9"/>
        <color indexed="8"/>
        <rFont val="宋体"/>
        <family val="3"/>
        <charset val="134"/>
      </rPr>
      <t>非流动负债</t>
    </r>
    <r>
      <rPr>
        <b/>
        <sz val="9"/>
        <color indexed="8"/>
        <rFont val="Arial"/>
        <family val="2"/>
      </rPr>
      <t>:</t>
    </r>
  </si>
  <si>
    <r>
      <rPr>
        <sz val="9"/>
        <color indexed="8"/>
        <rFont val="宋体"/>
        <family val="3"/>
        <charset val="134"/>
      </rPr>
      <t>长期借款</t>
    </r>
  </si>
  <si>
    <r>
      <rPr>
        <sz val="9"/>
        <color indexed="8"/>
        <rFont val="宋体"/>
        <family val="3"/>
        <charset val="134"/>
      </rPr>
      <t>应付债券</t>
    </r>
  </si>
  <si>
    <r>
      <rPr>
        <sz val="9"/>
        <color indexed="8"/>
        <rFont val="宋体"/>
        <family val="3"/>
        <charset val="134"/>
      </rPr>
      <t>其中：优先股</t>
    </r>
  </si>
  <si>
    <t>永续债</t>
  </si>
  <si>
    <r>
      <rPr>
        <sz val="9"/>
        <color indexed="8"/>
        <rFont val="宋体"/>
        <family val="3"/>
        <charset val="134"/>
      </rPr>
      <t>长期应付款</t>
    </r>
  </si>
  <si>
    <r>
      <rPr>
        <sz val="9"/>
        <color indexed="8"/>
        <rFont val="宋体"/>
        <family val="3"/>
        <charset val="134"/>
      </rPr>
      <t>预计负债</t>
    </r>
  </si>
  <si>
    <r>
      <rPr>
        <sz val="9"/>
        <color indexed="8"/>
        <rFont val="宋体"/>
        <family val="3"/>
        <charset val="134"/>
      </rPr>
      <t>递延收益</t>
    </r>
  </si>
  <si>
    <r>
      <rPr>
        <sz val="9"/>
        <color indexed="8"/>
        <rFont val="宋体"/>
        <family val="3"/>
        <charset val="134"/>
      </rPr>
      <t>递延所得税负债</t>
    </r>
  </si>
  <si>
    <r>
      <rPr>
        <sz val="9"/>
        <color indexed="8"/>
        <rFont val="宋体"/>
        <family val="3"/>
        <charset val="134"/>
      </rPr>
      <t>其他非流动负债</t>
    </r>
  </si>
  <si>
    <r>
      <rPr>
        <b/>
        <sz val="9"/>
        <color indexed="8"/>
        <rFont val="宋体"/>
        <family val="3"/>
        <charset val="134"/>
      </rPr>
      <t>非流动负债合计</t>
    </r>
  </si>
  <si>
    <r>
      <rPr>
        <b/>
        <sz val="9"/>
        <color indexed="8"/>
        <rFont val="宋体"/>
        <family val="3"/>
        <charset val="134"/>
      </rPr>
      <t>负债合计</t>
    </r>
  </si>
  <si>
    <r>
      <rPr>
        <b/>
        <sz val="9"/>
        <color indexed="8"/>
        <rFont val="宋体"/>
        <family val="3"/>
        <charset val="134"/>
      </rPr>
      <t>所有者（或股东）权益</t>
    </r>
    <r>
      <rPr>
        <b/>
        <sz val="9"/>
        <color indexed="8"/>
        <rFont val="Arial"/>
        <family val="2"/>
      </rPr>
      <t>:</t>
    </r>
  </si>
  <si>
    <r>
      <rPr>
        <sz val="9"/>
        <color indexed="8"/>
        <rFont val="宋体"/>
        <family val="3"/>
        <charset val="134"/>
      </rPr>
      <t>实收资本（或股本）</t>
    </r>
  </si>
  <si>
    <r>
      <rPr>
        <sz val="9"/>
        <color indexed="8"/>
        <rFont val="宋体"/>
        <family val="3"/>
        <charset val="134"/>
      </rPr>
      <t>其他权益工具</t>
    </r>
  </si>
  <si>
    <t>其中：优先股</t>
  </si>
  <si>
    <r>
      <rPr>
        <sz val="9"/>
        <color indexed="8"/>
        <rFont val="宋体"/>
        <family val="3"/>
        <charset val="134"/>
      </rPr>
      <t>资本公积</t>
    </r>
  </si>
  <si>
    <t>减：库存股</t>
  </si>
  <si>
    <r>
      <rPr>
        <sz val="9"/>
        <color indexed="8"/>
        <rFont val="宋体"/>
        <family val="3"/>
        <charset val="134"/>
      </rPr>
      <t>其他综合收益</t>
    </r>
  </si>
  <si>
    <r>
      <rPr>
        <sz val="9"/>
        <color indexed="8"/>
        <rFont val="宋体"/>
        <family val="3"/>
        <charset val="134"/>
      </rPr>
      <t>盈余公积</t>
    </r>
  </si>
  <si>
    <r>
      <rPr>
        <sz val="9"/>
        <color indexed="8"/>
        <rFont val="宋体"/>
        <family val="3"/>
        <charset val="134"/>
      </rPr>
      <t>未分配利润</t>
    </r>
  </si>
  <si>
    <r>
      <rPr>
        <sz val="9"/>
        <color indexed="8"/>
        <rFont val="宋体"/>
        <family val="3"/>
        <charset val="134"/>
      </rPr>
      <t>归属于母公司所有者权益合计</t>
    </r>
  </si>
  <si>
    <r>
      <rPr>
        <sz val="9"/>
        <color indexed="8"/>
        <rFont val="宋体"/>
        <family val="3"/>
        <charset val="134"/>
      </rPr>
      <t>少数股东权益</t>
    </r>
  </si>
  <si>
    <r>
      <rPr>
        <b/>
        <sz val="9"/>
        <color indexed="8"/>
        <rFont val="宋体"/>
        <family val="3"/>
        <charset val="134"/>
      </rPr>
      <t>所有者（或股东）权益合计</t>
    </r>
  </si>
  <si>
    <r>
      <rPr>
        <b/>
        <sz val="9"/>
        <color indexed="8"/>
        <rFont val="宋体"/>
        <family val="3"/>
        <charset val="134"/>
      </rPr>
      <t>负债和所有者（或股东）权益总计</t>
    </r>
  </si>
  <si>
    <r>
      <rPr>
        <sz val="9"/>
        <color rgb="FFFF0000"/>
        <rFont val="宋体"/>
        <family val="3"/>
        <charset val="134"/>
      </rPr>
      <t>校验公式：</t>
    </r>
  </si>
  <si>
    <r>
      <rPr>
        <sz val="9"/>
        <color indexed="8"/>
        <rFont val="宋体"/>
        <family val="3"/>
        <charset val="134"/>
      </rPr>
      <t>期末余额</t>
    </r>
  </si>
  <si>
    <r>
      <rPr>
        <sz val="9"/>
        <color indexed="8"/>
        <rFont val="宋体"/>
        <family val="3"/>
        <charset val="134"/>
      </rPr>
      <t>年初余额</t>
    </r>
  </si>
  <si>
    <r>
      <rPr>
        <sz val="9"/>
        <color theme="1"/>
        <rFont val="宋体"/>
        <family val="3"/>
        <charset val="134"/>
      </rPr>
      <t>流动资产合计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流动资产各明细项目相加</t>
    </r>
  </si>
  <si>
    <r>
      <rPr>
        <sz val="9"/>
        <color theme="1"/>
        <rFont val="宋体"/>
        <family val="3"/>
        <charset val="134"/>
      </rPr>
      <t>存货</t>
    </r>
    <r>
      <rPr>
        <sz val="9"/>
        <color theme="1"/>
        <rFont val="Arial"/>
        <family val="2"/>
      </rPr>
      <t>&gt;=</t>
    </r>
    <r>
      <rPr>
        <sz val="9"/>
        <color theme="1"/>
        <rFont val="宋体"/>
        <family val="3"/>
        <charset val="134"/>
      </rPr>
      <t>开发成本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开发商品</t>
    </r>
  </si>
  <si>
    <r>
      <rPr>
        <sz val="9"/>
        <color theme="1"/>
        <rFont val="宋体"/>
        <family val="3"/>
        <charset val="134"/>
      </rPr>
      <t>非流动资产合计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非流动资产各明细项目相加</t>
    </r>
  </si>
  <si>
    <r>
      <rPr>
        <sz val="9"/>
        <color theme="1"/>
        <rFont val="宋体"/>
        <family val="3"/>
        <charset val="134"/>
      </rPr>
      <t>资产总计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流动资产合计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非流动资产合计</t>
    </r>
  </si>
  <si>
    <r>
      <rPr>
        <sz val="9"/>
        <color theme="1"/>
        <rFont val="宋体"/>
        <family val="3"/>
        <charset val="134"/>
      </rPr>
      <t>流动负债合计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流动负债各明细项目相加</t>
    </r>
  </si>
  <si>
    <r>
      <rPr>
        <sz val="9"/>
        <color theme="1"/>
        <rFont val="宋体"/>
        <family val="3"/>
        <charset val="134"/>
      </rPr>
      <t>非流动负债合计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非流动负债各明细项目相加</t>
    </r>
  </si>
  <si>
    <r>
      <rPr>
        <sz val="9"/>
        <color theme="1"/>
        <rFont val="宋体"/>
        <family val="3"/>
        <charset val="134"/>
      </rPr>
      <t>负债合计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流动负债合计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非流动负债合计</t>
    </r>
  </si>
  <si>
    <r>
      <rPr>
        <sz val="9"/>
        <color theme="1"/>
        <rFont val="宋体"/>
        <family val="3"/>
        <charset val="134"/>
      </rPr>
      <t>归属于母公司所有者权益合计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</si>
  <si>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所有者（或股东）权益合计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归属于母公司所有者权益合计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少数股东权益</t>
    </r>
  </si>
  <si>
    <r>
      <rPr>
        <sz val="9"/>
        <color theme="1"/>
        <rFont val="宋体"/>
        <family val="3"/>
        <charset val="134"/>
      </rPr>
      <t>负债和所有者（或股东）权益总计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负债合计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所有者（或股东）权益合计</t>
    </r>
  </si>
  <si>
    <r>
      <rPr>
        <sz val="9"/>
        <color theme="1"/>
        <rFont val="宋体"/>
        <family val="3"/>
        <charset val="134"/>
      </rPr>
      <t>资产总计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负债和所有者（或股东）权益总计</t>
    </r>
  </si>
  <si>
    <r>
      <rPr>
        <sz val="9"/>
        <color theme="1"/>
        <rFont val="宋体"/>
        <family val="3"/>
        <charset val="134"/>
      </rPr>
      <t>未分配利润期末余额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年初余额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利润表归属于母公司所有者净利润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提取盈余公积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对所有者的分配</t>
    </r>
  </si>
  <si>
    <r>
      <rPr>
        <sz val="9"/>
        <color theme="1"/>
        <rFont val="宋体"/>
        <family val="3"/>
        <charset val="134"/>
      </rPr>
      <t>少数股东权益期末余额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年初余额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利润表少数股东损益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所有者投入资本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对所有者分配</t>
    </r>
  </si>
  <si>
    <r>
      <rPr>
        <sz val="9"/>
        <color theme="1"/>
        <rFont val="等线"/>
        <family val="3"/>
        <charset val="134"/>
      </rPr>
      <t>其他综合收益年初余额</t>
    </r>
    <r>
      <rPr>
        <sz val="9"/>
        <color theme="1"/>
        <rFont val="Arial"/>
        <family val="2"/>
      </rPr>
      <t>+</t>
    </r>
    <r>
      <rPr>
        <sz val="9"/>
        <color theme="1"/>
        <rFont val="等线"/>
        <family val="3"/>
        <charset val="134"/>
      </rPr>
      <t>利润表归母其他综合收益</t>
    </r>
    <r>
      <rPr>
        <sz val="9"/>
        <color theme="1"/>
        <rFont val="Arial"/>
        <family val="2"/>
      </rPr>
      <t>=</t>
    </r>
    <r>
      <rPr>
        <sz val="9"/>
        <color theme="1"/>
        <rFont val="等线"/>
        <family val="3"/>
        <charset val="134"/>
      </rPr>
      <t>其他综合收益期末余额</t>
    </r>
  </si>
  <si>
    <t>会计利润表</t>
  </si>
  <si>
    <t>利润表</t>
  </si>
  <si>
    <r>
      <rPr>
        <b/>
        <sz val="9"/>
        <color indexed="8"/>
        <rFont val="宋体"/>
        <family val="3"/>
        <charset val="134"/>
      </rPr>
      <t>年度预算数</t>
    </r>
  </si>
  <si>
    <r>
      <rPr>
        <b/>
        <sz val="9"/>
        <color indexed="8"/>
        <rFont val="宋体"/>
        <family val="3"/>
        <charset val="134"/>
      </rPr>
      <t>完成率</t>
    </r>
  </si>
  <si>
    <t>本月金额</t>
  </si>
  <si>
    <r>
      <rPr>
        <b/>
        <sz val="9"/>
        <color indexed="8"/>
        <rFont val="宋体"/>
        <family val="3"/>
        <charset val="134"/>
      </rPr>
      <t>本年累计</t>
    </r>
  </si>
  <si>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</si>
  <si>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</si>
  <si>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3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</si>
  <si>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4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</si>
  <si>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5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</si>
  <si>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6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</si>
  <si>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</si>
  <si>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8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</si>
  <si>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9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</si>
  <si>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10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</si>
  <si>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11</t>
    </r>
    <r>
      <rPr>
        <b/>
        <sz val="10"/>
        <rFont val="宋体"/>
        <family val="3"/>
        <charset val="134"/>
      </rPr>
      <t>月</t>
    </r>
  </si>
  <si>
    <r>
      <rPr>
        <b/>
        <sz val="10"/>
        <rFont val="Arial"/>
        <family val="2"/>
      </rPr>
      <t>12</t>
    </r>
    <r>
      <rPr>
        <b/>
        <sz val="10"/>
        <rFont val="宋体"/>
        <family val="3"/>
        <charset val="134"/>
      </rPr>
      <t>月</t>
    </r>
  </si>
  <si>
    <t>check</t>
  </si>
  <si>
    <r>
      <rPr>
        <b/>
        <sz val="9"/>
        <color indexed="8"/>
        <rFont val="宋体"/>
        <family val="3"/>
        <charset val="134"/>
      </rPr>
      <t>一、营业收入</t>
    </r>
  </si>
  <si>
    <r>
      <rPr>
        <sz val="9"/>
        <color indexed="8"/>
        <rFont val="宋体"/>
        <family val="3"/>
        <charset val="134"/>
      </rPr>
      <t>其中：营业收入</t>
    </r>
  </si>
  <si>
    <r>
      <rPr>
        <sz val="9"/>
        <color indexed="8"/>
        <rFont val="宋体"/>
        <family val="3"/>
        <charset val="134"/>
      </rPr>
      <t>其中：房地产销售收入</t>
    </r>
  </si>
  <si>
    <r>
      <rPr>
        <sz val="9"/>
        <color indexed="8"/>
        <rFont val="宋体"/>
        <family val="3"/>
        <charset val="134"/>
      </rPr>
      <t>物业出租收入</t>
    </r>
  </si>
  <si>
    <t>物业服务收入</t>
  </si>
  <si>
    <t>酒店餐饮收入</t>
  </si>
  <si>
    <t>其他收入</t>
  </si>
  <si>
    <r>
      <rPr>
        <b/>
        <sz val="9"/>
        <color indexed="8"/>
        <rFont val="宋体"/>
        <family val="3"/>
        <charset val="134"/>
      </rPr>
      <t>二、营业总成本</t>
    </r>
  </si>
  <si>
    <r>
      <rPr>
        <sz val="9"/>
        <color indexed="8"/>
        <rFont val="宋体"/>
        <family val="3"/>
        <charset val="134"/>
      </rPr>
      <t>减：营业成本</t>
    </r>
  </si>
  <si>
    <r>
      <rPr>
        <sz val="9"/>
        <color indexed="8"/>
        <rFont val="宋体"/>
        <family val="3"/>
        <charset val="134"/>
      </rPr>
      <t>其中：房地产销售成本</t>
    </r>
  </si>
  <si>
    <r>
      <rPr>
        <sz val="9"/>
        <color indexed="8"/>
        <rFont val="宋体"/>
        <family val="3"/>
        <charset val="134"/>
      </rPr>
      <t>物业出租成本</t>
    </r>
  </si>
  <si>
    <t>物业服务成本</t>
  </si>
  <si>
    <t>酒店餐饮成本</t>
  </si>
  <si>
    <t>其他成本</t>
  </si>
  <si>
    <t>税金及附加</t>
  </si>
  <si>
    <t>销售费用</t>
  </si>
  <si>
    <t>管理费用</t>
  </si>
  <si>
    <t>财务费用</t>
  </si>
  <si>
    <t>其中：利息费用</t>
  </si>
  <si>
    <t>利息收入</t>
  </si>
  <si>
    <t>资产减值损失</t>
  </si>
  <si>
    <t>加：其他收益</t>
  </si>
  <si>
    <t>投资收益（损失以“-”号填列）</t>
  </si>
  <si>
    <t>其中：对联营企业和合营企业的投资收益</t>
  </si>
  <si>
    <t>公允价值变动收益（损失以“-”号填列）</t>
  </si>
  <si>
    <t>资产处置收益（损失以“-”号填列）</t>
  </si>
  <si>
    <r>
      <rPr>
        <b/>
        <sz val="9"/>
        <color indexed="8"/>
        <rFont val="宋体"/>
        <family val="3"/>
        <charset val="134"/>
      </rPr>
      <t>三、营业利润（亏损以</t>
    </r>
    <r>
      <rPr>
        <b/>
        <sz val="9"/>
        <color indexed="8"/>
        <rFont val="Arial"/>
        <family val="2"/>
      </rPr>
      <t>“-”</t>
    </r>
    <r>
      <rPr>
        <b/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</si>
  <si>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加：营业外收入</t>
    </r>
  </si>
  <si>
    <r>
      <rPr>
        <sz val="9"/>
        <color indexed="8"/>
        <rFont val="宋体"/>
        <family val="3"/>
        <charset val="134"/>
      </rPr>
      <t>减：营业外支出</t>
    </r>
  </si>
  <si>
    <r>
      <rPr>
        <b/>
        <sz val="9"/>
        <color indexed="8"/>
        <rFont val="宋体"/>
        <family val="3"/>
        <charset val="134"/>
      </rPr>
      <t>四、利润总额（亏损以</t>
    </r>
    <r>
      <rPr>
        <b/>
        <sz val="9"/>
        <color indexed="8"/>
        <rFont val="Arial"/>
        <family val="2"/>
      </rPr>
      <t>“-”</t>
    </r>
    <r>
      <rPr>
        <b/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</si>
  <si>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减：所得税费用</t>
    </r>
  </si>
  <si>
    <r>
      <rPr>
        <b/>
        <sz val="9"/>
        <color indexed="8"/>
        <rFont val="宋体"/>
        <family val="3"/>
        <charset val="134"/>
      </rPr>
      <t>五、净利润</t>
    </r>
  </si>
  <si>
    <r>
      <rPr>
        <sz val="9"/>
        <color indexed="8"/>
        <rFont val="宋体"/>
        <family val="3"/>
        <charset val="134"/>
      </rPr>
      <t>归属于母公司所有者的净利润</t>
    </r>
  </si>
  <si>
    <r>
      <rPr>
        <sz val="9"/>
        <color indexed="8"/>
        <rFont val="宋体"/>
        <family val="3"/>
        <charset val="134"/>
      </rPr>
      <t>少数股东损益</t>
    </r>
  </si>
  <si>
    <r>
      <rPr>
        <sz val="9"/>
        <color indexed="8"/>
        <rFont val="宋体"/>
        <family val="3"/>
        <charset val="134"/>
      </rPr>
      <t>持续经营净利润</t>
    </r>
  </si>
  <si>
    <r>
      <rPr>
        <sz val="9"/>
        <color indexed="8"/>
        <rFont val="宋体"/>
        <family val="3"/>
        <charset val="134"/>
      </rPr>
      <t>终止经营净利润</t>
    </r>
  </si>
  <si>
    <r>
      <rPr>
        <b/>
        <sz val="9"/>
        <color indexed="8"/>
        <rFont val="宋体"/>
        <family val="3"/>
        <charset val="134"/>
      </rPr>
      <t>六、其他综合收益</t>
    </r>
  </si>
  <si>
    <r>
      <rPr>
        <sz val="9"/>
        <color indexed="8"/>
        <rFont val="宋体"/>
        <family val="3"/>
        <charset val="134"/>
      </rPr>
      <t>归属母公司所有者的其他综合收益的税后净额</t>
    </r>
  </si>
  <si>
    <t>（一）不能重分类进损益的其他综合收益</t>
  </si>
  <si>
    <r>
      <rPr>
        <sz val="9"/>
        <color indexed="8"/>
        <rFont val="Arial"/>
        <family val="2"/>
      </rPr>
      <t>1.</t>
    </r>
    <r>
      <rPr>
        <sz val="9"/>
        <color indexed="8"/>
        <rFont val="宋体"/>
        <family val="3"/>
        <charset val="134"/>
      </rPr>
      <t>重新计量设定受益计划变动额</t>
    </r>
  </si>
  <si>
    <r>
      <rPr>
        <sz val="9"/>
        <color indexed="8"/>
        <rFont val="Arial"/>
        <family val="2"/>
      </rPr>
      <t>2.</t>
    </r>
    <r>
      <rPr>
        <sz val="9"/>
        <color indexed="8"/>
        <rFont val="宋体"/>
        <family val="3"/>
        <charset val="134"/>
      </rPr>
      <t>权益法下不能转损益的其他综合收益</t>
    </r>
  </si>
  <si>
    <r>
      <rPr>
        <sz val="9"/>
        <color indexed="8"/>
        <rFont val="宋体"/>
        <family val="3"/>
        <charset val="134"/>
      </rPr>
      <t>（二）以后将重分类进损益的其他综合收益</t>
    </r>
  </si>
  <si>
    <r>
      <rPr>
        <sz val="9"/>
        <color indexed="8"/>
        <rFont val="Arial"/>
        <family val="2"/>
      </rPr>
      <t>1.</t>
    </r>
    <r>
      <rPr>
        <sz val="9"/>
        <color indexed="8"/>
        <rFont val="宋体"/>
        <family val="3"/>
        <charset val="134"/>
      </rPr>
      <t>权益法下可转损益的其他综合收益</t>
    </r>
  </si>
  <si>
    <r>
      <rPr>
        <sz val="9"/>
        <color indexed="8"/>
        <rFont val="Arial"/>
        <family val="2"/>
      </rPr>
      <t>2.</t>
    </r>
    <r>
      <rPr>
        <sz val="9"/>
        <color indexed="8"/>
        <rFont val="宋体"/>
        <family val="3"/>
        <charset val="134"/>
      </rPr>
      <t>可供出售金融资产公允价值变动损益</t>
    </r>
  </si>
  <si>
    <r>
      <rPr>
        <sz val="9"/>
        <color indexed="8"/>
        <rFont val="Arial"/>
        <family val="2"/>
      </rPr>
      <t>3.</t>
    </r>
    <r>
      <rPr>
        <sz val="9"/>
        <color indexed="8"/>
        <rFont val="宋体"/>
        <family val="3"/>
        <charset val="134"/>
      </rPr>
      <t>持有至到期投资重分类为可供出售金融资产损益</t>
    </r>
  </si>
  <si>
    <r>
      <rPr>
        <sz val="9"/>
        <color indexed="8"/>
        <rFont val="Arial"/>
        <family val="2"/>
      </rPr>
      <t>4.</t>
    </r>
    <r>
      <rPr>
        <sz val="9"/>
        <color indexed="8"/>
        <rFont val="宋体"/>
        <family val="3"/>
        <charset val="134"/>
      </rPr>
      <t>现金流量套期损益的有效部分</t>
    </r>
  </si>
  <si>
    <r>
      <rPr>
        <sz val="9"/>
        <color indexed="8"/>
        <rFont val="Arial"/>
        <family val="2"/>
      </rPr>
      <t>5.</t>
    </r>
    <r>
      <rPr>
        <sz val="9"/>
        <color indexed="8"/>
        <rFont val="宋体"/>
        <family val="3"/>
        <charset val="134"/>
      </rPr>
      <t>外币财务报表折算差额</t>
    </r>
  </si>
  <si>
    <r>
      <rPr>
        <sz val="9"/>
        <color indexed="8"/>
        <rFont val="Arial"/>
        <family val="2"/>
      </rPr>
      <t>6.</t>
    </r>
    <r>
      <rPr>
        <sz val="9"/>
        <color indexed="8"/>
        <rFont val="宋体"/>
        <family val="3"/>
        <charset val="134"/>
      </rPr>
      <t>非投资性房地产转换为投资性房地产其他综合收益</t>
    </r>
  </si>
  <si>
    <r>
      <rPr>
        <sz val="9"/>
        <color indexed="8"/>
        <rFont val="宋体"/>
        <family val="3"/>
        <charset val="134"/>
      </rPr>
      <t>归属于少数股东的其他综合收益的税后净额</t>
    </r>
  </si>
  <si>
    <r>
      <rPr>
        <b/>
        <sz val="9"/>
        <color indexed="8"/>
        <rFont val="宋体"/>
        <family val="3"/>
        <charset val="134"/>
      </rPr>
      <t>七、综合收益总额</t>
    </r>
  </si>
  <si>
    <r>
      <rPr>
        <sz val="9"/>
        <color indexed="8"/>
        <rFont val="宋体"/>
        <family val="3"/>
        <charset val="134"/>
      </rPr>
      <t>归属于母公司所有者的综合收益总额</t>
    </r>
  </si>
  <si>
    <r>
      <rPr>
        <sz val="9"/>
        <color indexed="8"/>
        <rFont val="宋体"/>
        <family val="3"/>
        <charset val="134"/>
      </rPr>
      <t>归属于少数股东的综合收益总额</t>
    </r>
  </si>
  <si>
    <r>
      <rPr>
        <b/>
        <sz val="9"/>
        <color indexed="8"/>
        <rFont val="宋体"/>
        <family val="3"/>
        <charset val="134"/>
      </rPr>
      <t>八、每股收益：</t>
    </r>
  </si>
  <si>
    <r>
      <rPr>
        <sz val="9"/>
        <color indexed="8"/>
        <rFont val="宋体"/>
        <family val="3"/>
        <charset val="134"/>
      </rPr>
      <t>（一）基本每股收益</t>
    </r>
  </si>
  <si>
    <r>
      <rPr>
        <sz val="9"/>
        <color indexed="8"/>
        <rFont val="宋体"/>
        <family val="3"/>
        <charset val="134"/>
      </rPr>
      <t>（二）稀释每股收益</t>
    </r>
  </si>
  <si>
    <r>
      <rPr>
        <sz val="9"/>
        <color rgb="FFFF0000"/>
        <rFont val="等线"/>
        <family val="3"/>
        <charset val="134"/>
      </rPr>
      <t>审核公式：</t>
    </r>
  </si>
  <si>
    <r>
      <rPr>
        <sz val="9"/>
        <rFont val="等线"/>
        <family val="3"/>
        <charset val="134"/>
      </rPr>
      <t>年度预算数</t>
    </r>
  </si>
  <si>
    <r>
      <rPr>
        <sz val="9"/>
        <rFont val="等线"/>
        <family val="3"/>
        <charset val="134"/>
      </rPr>
      <t>完成率</t>
    </r>
  </si>
  <si>
    <r>
      <rPr>
        <b/>
        <sz val="9"/>
        <rFont val="Arial"/>
        <family val="2"/>
      </rPr>
      <t>1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</si>
  <si>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2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</si>
  <si>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3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</si>
  <si>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4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</si>
  <si>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5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</si>
  <si>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6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</si>
  <si>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7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</si>
  <si>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</si>
  <si>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9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</si>
  <si>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10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</si>
  <si>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11</t>
    </r>
    <r>
      <rPr>
        <b/>
        <sz val="9"/>
        <rFont val="宋体"/>
        <family val="3"/>
        <charset val="134"/>
      </rPr>
      <t>月</t>
    </r>
  </si>
  <si>
    <r>
      <rPr>
        <b/>
        <sz val="9"/>
        <rFont val="Arial"/>
        <family val="2"/>
      </rPr>
      <t>12</t>
    </r>
    <r>
      <rPr>
        <b/>
        <sz val="9"/>
        <rFont val="宋体"/>
        <family val="3"/>
        <charset val="134"/>
      </rPr>
      <t>月</t>
    </r>
  </si>
  <si>
    <r>
      <rPr>
        <sz val="9"/>
        <color theme="1"/>
        <rFont val="宋体"/>
        <family val="3"/>
        <charset val="134"/>
      </rPr>
      <t>营业收入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其中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</rPr>
      <t>营业收入</t>
    </r>
  </si>
  <si>
    <r>
      <rPr>
        <sz val="9"/>
        <color theme="1"/>
        <rFont val="宋体"/>
        <family val="3"/>
        <charset val="134"/>
      </rPr>
      <t>其中：营业收入</t>
    </r>
    <r>
      <rPr>
        <sz val="9"/>
        <color theme="1"/>
        <rFont val="Arial"/>
        <family val="2"/>
      </rPr>
      <t>&gt;=</t>
    </r>
    <r>
      <rPr>
        <sz val="9"/>
        <color theme="1"/>
        <rFont val="宋体"/>
        <family val="3"/>
        <charset val="134"/>
      </rPr>
      <t>其中项合计</t>
    </r>
  </si>
  <si>
    <r>
      <rPr>
        <sz val="9"/>
        <color theme="1"/>
        <rFont val="宋体"/>
        <family val="3"/>
        <charset val="134"/>
      </rPr>
      <t>营业总成本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下面明细项合计</t>
    </r>
  </si>
  <si>
    <r>
      <rPr>
        <sz val="9"/>
        <color theme="1"/>
        <rFont val="宋体"/>
        <family val="3"/>
        <charset val="134"/>
      </rPr>
      <t>营业成本</t>
    </r>
    <r>
      <rPr>
        <sz val="9"/>
        <color theme="1"/>
        <rFont val="Arial"/>
        <family val="2"/>
      </rPr>
      <t>&gt;=</t>
    </r>
    <r>
      <rPr>
        <sz val="9"/>
        <color theme="1"/>
        <rFont val="宋体"/>
        <family val="3"/>
        <charset val="134"/>
      </rPr>
      <t>其中明细项合计</t>
    </r>
  </si>
  <si>
    <r>
      <rPr>
        <sz val="9"/>
        <color theme="1"/>
        <rFont val="宋体"/>
        <family val="3"/>
        <charset val="134"/>
      </rPr>
      <t>营业利润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营业收入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营业总成本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资产减值损失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公允价值变动收益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投资收益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汇兑收益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资产处置收益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其他收益</t>
    </r>
  </si>
  <si>
    <r>
      <rPr>
        <sz val="9"/>
        <color theme="1"/>
        <rFont val="宋体"/>
        <family val="3"/>
        <charset val="134"/>
      </rPr>
      <t>利润总额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营业利润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营业外收入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营业外支出</t>
    </r>
  </si>
  <si>
    <r>
      <rPr>
        <sz val="9"/>
        <color theme="1"/>
        <rFont val="宋体"/>
        <family val="3"/>
        <charset val="134"/>
      </rPr>
      <t>净利润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利润总额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所得税费用</t>
    </r>
  </si>
  <si>
    <r>
      <rPr>
        <sz val="9"/>
        <color theme="1"/>
        <rFont val="宋体"/>
        <family val="3"/>
        <charset val="134"/>
      </rPr>
      <t>净利润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归母净利润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少数股东损益</t>
    </r>
  </si>
  <si>
    <r>
      <rPr>
        <sz val="9"/>
        <color theme="1"/>
        <rFont val="宋体"/>
        <family val="3"/>
        <charset val="134"/>
      </rPr>
      <t>净利润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持续经营净利润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终止经营净利润</t>
    </r>
  </si>
  <si>
    <r>
      <rPr>
        <sz val="9"/>
        <color theme="1"/>
        <rFont val="宋体"/>
        <family val="3"/>
        <charset val="134"/>
      </rPr>
      <t>归母其他综合收益税后净额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以后不能重分类进损益的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以后将重分类进损益的其他综合收益</t>
    </r>
  </si>
  <si>
    <r>
      <rPr>
        <sz val="9"/>
        <color theme="1"/>
        <rFont val="宋体"/>
        <family val="3"/>
        <charset val="134"/>
      </rPr>
      <t>以后不能重分类进损益的其他综合收益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下面明细合计</t>
    </r>
  </si>
  <si>
    <r>
      <rPr>
        <sz val="9"/>
        <color theme="1"/>
        <rFont val="宋体"/>
        <family val="3"/>
        <charset val="134"/>
      </rPr>
      <t>以后将重分类进损益的其他综合收益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下面明细合计</t>
    </r>
  </si>
  <si>
    <r>
      <rPr>
        <sz val="9"/>
        <color theme="1"/>
        <rFont val="宋体"/>
        <family val="3"/>
        <charset val="134"/>
      </rPr>
      <t>综合收益总额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归母综合收益总额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归少数股东综合收益总额</t>
    </r>
  </si>
  <si>
    <r>
      <rPr>
        <sz val="9"/>
        <color theme="1"/>
        <rFont val="宋体"/>
        <family val="3"/>
        <charset val="134"/>
      </rPr>
      <t>综合收益总额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净利润</t>
    </r>
    <r>
      <rPr>
        <sz val="9"/>
        <color theme="1"/>
        <rFont val="Arial"/>
        <family val="2"/>
      </rPr>
      <t>+</t>
    </r>
    <r>
      <rPr>
        <sz val="9"/>
        <color theme="1"/>
        <rFont val="宋体"/>
        <family val="3"/>
        <charset val="134"/>
      </rPr>
      <t>其他综合收益</t>
    </r>
  </si>
  <si>
    <t>现金流量表及补充资料</t>
  </si>
  <si>
    <t>年度预算数</t>
  </si>
  <si>
    <t>完成率</t>
  </si>
  <si>
    <r>
      <rPr>
        <b/>
        <sz val="9"/>
        <color indexed="8"/>
        <rFont val="宋体"/>
        <family val="3"/>
        <charset val="134"/>
      </rPr>
      <t>一、经营活动产生的现金流量</t>
    </r>
  </si>
  <si>
    <r>
      <rPr>
        <sz val="9"/>
        <color indexed="8"/>
        <rFont val="宋体"/>
        <family val="3"/>
        <charset val="134"/>
      </rPr>
      <t>销售商品、提供劳务收到的现金</t>
    </r>
  </si>
  <si>
    <t>其中：房产销售回款额</t>
  </si>
  <si>
    <t>物业出租回款额</t>
  </si>
  <si>
    <t>物业服务回款额</t>
  </si>
  <si>
    <t>酒店餐饮回款额</t>
  </si>
  <si>
    <t>其他</t>
  </si>
  <si>
    <r>
      <rPr>
        <sz val="9"/>
        <color indexed="8"/>
        <rFont val="宋体"/>
        <family val="3"/>
        <charset val="134"/>
      </rPr>
      <t>收到的税费返还</t>
    </r>
  </si>
  <si>
    <r>
      <rPr>
        <sz val="9"/>
        <color indexed="8"/>
        <rFont val="宋体"/>
        <family val="3"/>
        <charset val="134"/>
      </rPr>
      <t>收到其他与经营活动有关的现金</t>
    </r>
  </si>
  <si>
    <r>
      <rPr>
        <b/>
        <sz val="9"/>
        <color indexed="8"/>
        <rFont val="宋体"/>
        <family val="3"/>
        <charset val="134"/>
      </rPr>
      <t>经营活动现金流入小计</t>
    </r>
  </si>
  <si>
    <r>
      <rPr>
        <sz val="9"/>
        <color indexed="8"/>
        <rFont val="宋体"/>
        <family val="3"/>
        <charset val="134"/>
      </rPr>
      <t>购买商品、接受劳务支付的现金</t>
    </r>
  </si>
  <si>
    <r>
      <rPr>
        <sz val="9"/>
        <color indexed="8"/>
        <rFont val="宋体"/>
        <family val="3"/>
        <charset val="134"/>
      </rPr>
      <t>其中：土地款</t>
    </r>
  </si>
  <si>
    <r>
      <rPr>
        <sz val="9"/>
        <color indexed="8"/>
        <rFont val="宋体"/>
        <family val="3"/>
        <charset val="134"/>
      </rPr>
      <t>开发前期准备费</t>
    </r>
  </si>
  <si>
    <r>
      <rPr>
        <sz val="9"/>
        <color indexed="8"/>
        <rFont val="宋体"/>
        <family val="3"/>
        <charset val="134"/>
      </rPr>
      <t>建安费</t>
    </r>
  </si>
  <si>
    <r>
      <rPr>
        <sz val="9"/>
        <color indexed="8"/>
        <rFont val="宋体"/>
        <family val="3"/>
        <charset val="134"/>
      </rPr>
      <t>市政基础</t>
    </r>
  </si>
  <si>
    <r>
      <rPr>
        <sz val="9"/>
        <color indexed="8"/>
        <rFont val="宋体"/>
        <family val="3"/>
        <charset val="134"/>
      </rPr>
      <t>公共配套</t>
    </r>
  </si>
  <si>
    <t>物业出租付现额</t>
  </si>
  <si>
    <t>物业服务付现额</t>
  </si>
  <si>
    <t>酒店餐饮付现额</t>
  </si>
  <si>
    <r>
      <rPr>
        <sz val="9"/>
        <color indexed="8"/>
        <rFont val="宋体"/>
        <family val="3"/>
        <charset val="134"/>
      </rPr>
      <t>支付给职工以及为职工支付的现金</t>
    </r>
  </si>
  <si>
    <r>
      <rPr>
        <sz val="9"/>
        <color indexed="8"/>
        <rFont val="宋体"/>
        <family val="3"/>
        <charset val="134"/>
      </rPr>
      <t>支付的各项税费</t>
    </r>
  </si>
  <si>
    <r>
      <rPr>
        <sz val="9"/>
        <color indexed="8"/>
        <rFont val="宋体"/>
        <family val="3"/>
        <charset val="134"/>
      </rPr>
      <t>支付其他与经营活动有关的现金</t>
    </r>
  </si>
  <si>
    <r>
      <rPr>
        <b/>
        <sz val="9"/>
        <color indexed="8"/>
        <rFont val="宋体"/>
        <family val="3"/>
        <charset val="134"/>
      </rPr>
      <t>经营活动现金流出小计</t>
    </r>
  </si>
  <si>
    <r>
      <rPr>
        <b/>
        <sz val="9"/>
        <color indexed="8"/>
        <rFont val="宋体"/>
        <family val="3"/>
        <charset val="134"/>
      </rPr>
      <t>经营活动产生的现金流量净额</t>
    </r>
  </si>
  <si>
    <r>
      <rPr>
        <b/>
        <sz val="9"/>
        <color indexed="8"/>
        <rFont val="宋体"/>
        <family val="3"/>
        <charset val="134"/>
      </rPr>
      <t>二、投资活动产生的现金流量</t>
    </r>
  </si>
  <si>
    <r>
      <rPr>
        <sz val="9"/>
        <color indexed="8"/>
        <rFont val="宋体"/>
        <family val="3"/>
        <charset val="134"/>
      </rPr>
      <t>收回投资收到的现金</t>
    </r>
  </si>
  <si>
    <r>
      <rPr>
        <sz val="9"/>
        <color indexed="8"/>
        <rFont val="宋体"/>
        <family val="3"/>
        <charset val="134"/>
      </rPr>
      <t>取得投资收益收到的现金</t>
    </r>
  </si>
  <si>
    <r>
      <rPr>
        <sz val="9"/>
        <color indexed="8"/>
        <rFont val="宋体"/>
        <family val="3"/>
        <charset val="134"/>
      </rPr>
      <t>处置固定资产、无形资产和其他长期资产收回的现金净额</t>
    </r>
  </si>
  <si>
    <r>
      <rPr>
        <sz val="9"/>
        <color indexed="8"/>
        <rFont val="宋体"/>
        <family val="3"/>
        <charset val="134"/>
      </rPr>
      <t>处置子公司及其他营业单位收到的现金净额</t>
    </r>
  </si>
  <si>
    <r>
      <rPr>
        <sz val="9"/>
        <color indexed="8"/>
        <rFont val="宋体"/>
        <family val="3"/>
        <charset val="134"/>
      </rPr>
      <t>收到其他与投资活动有关的现金</t>
    </r>
  </si>
  <si>
    <r>
      <rPr>
        <b/>
        <sz val="9"/>
        <color indexed="8"/>
        <rFont val="宋体"/>
        <family val="3"/>
        <charset val="134"/>
      </rPr>
      <t>投资活动现金流入小计</t>
    </r>
  </si>
  <si>
    <r>
      <rPr>
        <sz val="9"/>
        <color indexed="8"/>
        <rFont val="宋体"/>
        <family val="3"/>
        <charset val="134"/>
      </rPr>
      <t>购建固定资产、无形资产和其他长期资产支付的现金</t>
    </r>
  </si>
  <si>
    <r>
      <rPr>
        <sz val="9"/>
        <color indexed="8"/>
        <rFont val="宋体"/>
        <family val="3"/>
        <charset val="134"/>
      </rPr>
      <t>投资支付的现金</t>
    </r>
  </si>
  <si>
    <r>
      <rPr>
        <sz val="9"/>
        <color indexed="8"/>
        <rFont val="宋体"/>
        <family val="3"/>
        <charset val="134"/>
      </rPr>
      <t>取得子公司及其他营业单位支付的现金净额</t>
    </r>
  </si>
  <si>
    <r>
      <rPr>
        <sz val="9"/>
        <color indexed="8"/>
        <rFont val="宋体"/>
        <family val="3"/>
        <charset val="134"/>
      </rPr>
      <t>支付其他与投资活动有关的现金</t>
    </r>
  </si>
  <si>
    <r>
      <rPr>
        <b/>
        <sz val="9"/>
        <color indexed="8"/>
        <rFont val="宋体"/>
        <family val="3"/>
        <charset val="134"/>
      </rPr>
      <t>投资活动现金流出小计</t>
    </r>
  </si>
  <si>
    <r>
      <rPr>
        <b/>
        <sz val="9"/>
        <color indexed="8"/>
        <rFont val="宋体"/>
        <family val="3"/>
        <charset val="134"/>
      </rPr>
      <t>投资活动产生的现金流量净额</t>
    </r>
  </si>
  <si>
    <r>
      <rPr>
        <b/>
        <sz val="9"/>
        <color indexed="8"/>
        <rFont val="宋体"/>
        <family val="3"/>
        <charset val="134"/>
      </rPr>
      <t>三、筹资活动产生的现金流量</t>
    </r>
  </si>
  <si>
    <r>
      <rPr>
        <sz val="9"/>
        <color indexed="8"/>
        <rFont val="宋体"/>
        <family val="3"/>
        <charset val="134"/>
      </rPr>
      <t>吸收投资收到的现金</t>
    </r>
  </si>
  <si>
    <r>
      <rPr>
        <sz val="9"/>
        <color indexed="8"/>
        <rFont val="宋体"/>
        <family val="3"/>
        <charset val="134"/>
      </rPr>
      <t>其中：子公司吸收少数股东投资收到的现金</t>
    </r>
  </si>
  <si>
    <r>
      <rPr>
        <sz val="9"/>
        <color indexed="8"/>
        <rFont val="宋体"/>
        <family val="3"/>
        <charset val="134"/>
      </rPr>
      <t>取得借款收到的现金</t>
    </r>
  </si>
  <si>
    <r>
      <rPr>
        <sz val="9"/>
        <color indexed="8"/>
        <rFont val="宋体"/>
        <family val="3"/>
        <charset val="134"/>
      </rPr>
      <t>发行债券收到的现金</t>
    </r>
  </si>
  <si>
    <r>
      <rPr>
        <sz val="9"/>
        <color indexed="8"/>
        <rFont val="宋体"/>
        <family val="3"/>
        <charset val="134"/>
      </rPr>
      <t>收到其他与筹资活动有关的现金</t>
    </r>
  </si>
  <si>
    <r>
      <rPr>
        <b/>
        <sz val="9"/>
        <color indexed="8"/>
        <rFont val="宋体"/>
        <family val="3"/>
        <charset val="134"/>
      </rPr>
      <t>筹资活动现金流入小计</t>
    </r>
  </si>
  <si>
    <r>
      <rPr>
        <sz val="9"/>
        <color indexed="8"/>
        <rFont val="宋体"/>
        <family val="3"/>
        <charset val="134"/>
      </rPr>
      <t>偿还债务支付的现金</t>
    </r>
  </si>
  <si>
    <r>
      <rPr>
        <sz val="9"/>
        <color indexed="8"/>
        <rFont val="宋体"/>
        <family val="3"/>
        <charset val="134"/>
      </rPr>
      <t>分配股利、利润或偿付利息支付的现金</t>
    </r>
  </si>
  <si>
    <r>
      <rPr>
        <sz val="9"/>
        <color indexed="8"/>
        <rFont val="宋体"/>
        <family val="3"/>
        <charset val="134"/>
      </rPr>
      <t>其中：子公司支付给少数股东的股利、利润</t>
    </r>
  </si>
  <si>
    <r>
      <rPr>
        <sz val="9"/>
        <color indexed="8"/>
        <rFont val="宋体"/>
        <family val="3"/>
        <charset val="134"/>
      </rPr>
      <t>支付其他与筹资活动有关的现金</t>
    </r>
  </si>
  <si>
    <r>
      <rPr>
        <b/>
        <sz val="9"/>
        <color indexed="8"/>
        <rFont val="宋体"/>
        <family val="3"/>
        <charset val="134"/>
      </rPr>
      <t>筹资活动现金流出小计</t>
    </r>
  </si>
  <si>
    <r>
      <rPr>
        <b/>
        <sz val="9"/>
        <color indexed="8"/>
        <rFont val="宋体"/>
        <family val="3"/>
        <charset val="134"/>
      </rPr>
      <t>筹资活动产生的现金流量净额</t>
    </r>
  </si>
  <si>
    <r>
      <rPr>
        <b/>
        <sz val="9"/>
        <color indexed="8"/>
        <rFont val="宋体"/>
        <family val="3"/>
        <charset val="134"/>
      </rPr>
      <t>四、汇率变动对现金及现金等价物的影响</t>
    </r>
  </si>
  <si>
    <t>五、现金及现金等价物净增加额</t>
  </si>
  <si>
    <t>加：期初现金及现金等价物余额</t>
  </si>
  <si>
    <t>六、期末现金及现金等价物余额</t>
  </si>
  <si>
    <r>
      <rPr>
        <b/>
        <sz val="9"/>
        <color indexed="8"/>
        <rFont val="宋体"/>
        <family val="3"/>
        <charset val="134"/>
      </rPr>
      <t>补充资料</t>
    </r>
  </si>
  <si>
    <r>
      <rPr>
        <b/>
        <sz val="9"/>
        <color indexed="8"/>
        <rFont val="Arial"/>
        <family val="2"/>
      </rPr>
      <t>1</t>
    </r>
    <r>
      <rPr>
        <b/>
        <sz val="9"/>
        <color indexed="8"/>
        <rFont val="宋体"/>
        <family val="3"/>
        <charset val="134"/>
      </rPr>
      <t>、将净利润调节为经营活动现金流量：</t>
    </r>
  </si>
  <si>
    <r>
      <rPr>
        <sz val="9"/>
        <color indexed="8"/>
        <rFont val="宋体"/>
        <family val="3"/>
        <charset val="134"/>
      </rPr>
      <t>净利润</t>
    </r>
  </si>
  <si>
    <r>
      <rPr>
        <sz val="9"/>
        <color indexed="8"/>
        <rFont val="宋体"/>
        <family val="3"/>
        <charset val="134"/>
      </rPr>
      <t>加：资产减值准备</t>
    </r>
  </si>
  <si>
    <r>
      <rPr>
        <sz val="9"/>
        <color indexed="8"/>
        <rFont val="宋体"/>
        <family val="3"/>
        <charset val="134"/>
      </rPr>
      <t>固定资产折旧、油气资产折耗、生产性生物资产折旧</t>
    </r>
  </si>
  <si>
    <r>
      <rPr>
        <sz val="9"/>
        <color indexed="8"/>
        <rFont val="宋体"/>
        <family val="3"/>
        <charset val="134"/>
      </rPr>
      <t>无形资产摊销</t>
    </r>
  </si>
  <si>
    <r>
      <rPr>
        <sz val="9"/>
        <color indexed="8"/>
        <rFont val="宋体"/>
        <family val="3"/>
        <charset val="134"/>
      </rPr>
      <t>长期待摊费用摊销</t>
    </r>
  </si>
  <si>
    <r>
      <rPr>
        <sz val="9"/>
        <color indexed="8"/>
        <rFont val="宋体"/>
        <family val="3"/>
        <charset val="134"/>
      </rPr>
      <t>处置固定资产、无形资产和其他长期资产的损失（收益以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</si>
  <si>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固定资产报废损失（收益以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</si>
  <si>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公允价值变动损失（收益以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</si>
  <si>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财务费用（收益以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</si>
  <si>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投资损失（收益以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</si>
  <si>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递延所得税资产减少（增加以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</si>
  <si>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递延所得税负债增加（减少以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</si>
  <si>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存货的减少（增加以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</si>
  <si>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经营性应收项目的减少（增加以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</si>
  <si>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经营性应付项目的增加（减少以</t>
    </r>
    <r>
      <rPr>
        <sz val="9"/>
        <color indexed="8"/>
        <rFont val="Arial"/>
        <family val="2"/>
      </rPr>
      <t>“</t>
    </r>
    <r>
      <rPr>
        <sz val="9"/>
        <color indexed="8"/>
        <rFont val="宋体"/>
        <family val="3"/>
        <charset val="134"/>
      </rPr>
      <t>－</t>
    </r>
    <r>
      <rPr>
        <sz val="9"/>
        <color indexed="8"/>
        <rFont val="Arial"/>
        <family val="2"/>
      </rPr>
      <t>”</t>
    </r>
    <r>
      <rPr>
        <sz val="9"/>
        <color indexed="8"/>
        <rFont val="宋体"/>
        <family val="3"/>
        <charset val="134"/>
      </rPr>
      <t>号填列）</t>
    </r>
  </si>
  <si>
    <r>
      <rPr>
        <sz val="9"/>
        <color indexed="8"/>
        <rFont val="宋体"/>
        <family val="3"/>
        <charset val="134"/>
      </rPr>
      <t>其他</t>
    </r>
  </si>
  <si>
    <t>经营活动产生的现金流量净额</t>
  </si>
  <si>
    <r>
      <rPr>
        <b/>
        <sz val="9"/>
        <color indexed="8"/>
        <rFont val="Arial"/>
        <family val="2"/>
      </rPr>
      <t xml:space="preserve"> 2</t>
    </r>
    <r>
      <rPr>
        <b/>
        <sz val="9"/>
        <color indexed="8"/>
        <rFont val="宋体"/>
        <family val="3"/>
        <charset val="134"/>
      </rPr>
      <t>、不涉及现金收支的投资和筹资活动：</t>
    </r>
    <r>
      <rPr>
        <b/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</si>
  <si>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 xml:space="preserve"> </t>
    </r>
    <r>
      <rPr>
        <sz val="9"/>
        <color indexed="8"/>
        <rFont val="宋体"/>
        <family val="3"/>
        <charset val="134"/>
      </rPr>
      <t>债务转为资本</t>
    </r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</si>
  <si>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 xml:space="preserve"> </t>
    </r>
    <r>
      <rPr>
        <sz val="9"/>
        <color indexed="8"/>
        <rFont val="宋体"/>
        <family val="3"/>
        <charset val="134"/>
      </rPr>
      <t>一年内到期的可转换公司债券</t>
    </r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</si>
  <si>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 xml:space="preserve"> </t>
    </r>
    <r>
      <rPr>
        <sz val="9"/>
        <color indexed="8"/>
        <rFont val="宋体"/>
        <family val="3"/>
        <charset val="134"/>
      </rPr>
      <t>融资租入固定资产</t>
    </r>
    <r>
      <rPr>
        <sz val="9"/>
        <color indexed="8"/>
        <rFont val="Arial"/>
        <family val="2"/>
      </rPr>
      <t xml:space="preserve"> </t>
    </r>
  </si>
  <si>
    <r>
      <rPr>
        <b/>
        <sz val="9"/>
        <color indexed="8"/>
        <rFont val="Arial"/>
        <family val="2"/>
      </rPr>
      <t xml:space="preserve"> 3</t>
    </r>
    <r>
      <rPr>
        <b/>
        <sz val="9"/>
        <color indexed="8"/>
        <rFont val="宋体"/>
        <family val="3"/>
        <charset val="134"/>
      </rPr>
      <t>、现金及现金等价物净变动情况：</t>
    </r>
    <r>
      <rPr>
        <b/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</si>
  <si>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 xml:space="preserve"> </t>
    </r>
    <r>
      <rPr>
        <sz val="9"/>
        <color indexed="8"/>
        <rFont val="宋体"/>
        <family val="3"/>
        <charset val="134"/>
      </rPr>
      <t>现金的期末余额</t>
    </r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</si>
  <si>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 xml:space="preserve"> </t>
    </r>
    <r>
      <rPr>
        <sz val="9"/>
        <color indexed="8"/>
        <rFont val="宋体"/>
        <family val="3"/>
        <charset val="134"/>
      </rPr>
      <t>减：现金的期初余额</t>
    </r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</si>
  <si>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 xml:space="preserve"> </t>
    </r>
    <r>
      <rPr>
        <sz val="9"/>
        <color indexed="8"/>
        <rFont val="宋体"/>
        <family val="3"/>
        <charset val="134"/>
      </rPr>
      <t>加：现金等价物的期末余额</t>
    </r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</si>
  <si>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 xml:space="preserve"> </t>
    </r>
    <r>
      <rPr>
        <sz val="9"/>
        <color indexed="8"/>
        <rFont val="宋体"/>
        <family val="3"/>
        <charset val="134"/>
      </rPr>
      <t>减：现金等价物的期初余额</t>
    </r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</si>
  <si>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Arial"/>
        <family val="2"/>
      </rPr>
      <t xml:space="preserve"> </t>
    </r>
    <r>
      <rPr>
        <sz val="9"/>
        <color indexed="8"/>
        <rFont val="宋体"/>
        <family val="3"/>
        <charset val="134"/>
      </rPr>
      <t>现金及现金等价物净增加额</t>
    </r>
    <r>
      <rPr>
        <sz val="9"/>
        <color indexed="8"/>
        <rFont val="Arial"/>
        <family val="2"/>
      </rPr>
      <t xml:space="preserve"> </t>
    </r>
  </si>
  <si>
    <r>
      <rPr>
        <sz val="9"/>
        <color indexed="8"/>
        <rFont val="宋体"/>
        <family val="3"/>
        <charset val="134"/>
      </rPr>
      <t>不符合现金定义的货币资金</t>
    </r>
  </si>
  <si>
    <t>现金流量表校验公式</t>
  </si>
  <si>
    <r>
      <rPr>
        <sz val="9"/>
        <color theme="1"/>
        <rFont val="宋体"/>
        <family val="3"/>
        <charset val="134"/>
      </rPr>
      <t>经营活动现金流入小计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</si>
  <si>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经营活动现金流出小计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</si>
  <si>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经营活动现金净流量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经营流入小计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经营流出小计</t>
    </r>
  </si>
  <si>
    <r>
      <rPr>
        <sz val="9"/>
        <color theme="1"/>
        <rFont val="宋体"/>
        <family val="3"/>
        <charset val="134"/>
      </rPr>
      <t>销售商品、提供劳务收到的现金</t>
    </r>
    <r>
      <rPr>
        <sz val="9"/>
        <color theme="1"/>
        <rFont val="Arial"/>
        <family val="2"/>
      </rPr>
      <t>&gt;=</t>
    </r>
    <r>
      <rPr>
        <sz val="9"/>
        <color theme="1"/>
        <rFont val="宋体"/>
        <family val="3"/>
        <charset val="134"/>
      </rPr>
      <t>其中项合计</t>
    </r>
  </si>
  <si>
    <r>
      <rPr>
        <sz val="9"/>
        <color theme="1"/>
        <rFont val="宋体"/>
        <family val="3"/>
        <charset val="134"/>
      </rPr>
      <t>购买商品、接受劳务支付的现金</t>
    </r>
    <r>
      <rPr>
        <sz val="9"/>
        <color theme="1"/>
        <rFont val="Arial"/>
        <family val="2"/>
      </rPr>
      <t>&gt;=</t>
    </r>
    <r>
      <rPr>
        <sz val="9"/>
        <color theme="1"/>
        <rFont val="宋体"/>
        <family val="3"/>
        <charset val="134"/>
      </rPr>
      <t>其中项合计</t>
    </r>
  </si>
  <si>
    <r>
      <rPr>
        <sz val="9"/>
        <color theme="1"/>
        <rFont val="宋体"/>
        <family val="3"/>
        <charset val="134"/>
      </rPr>
      <t>投资活动现金流入小计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</si>
  <si>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投资活动现金流出小计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</si>
  <si>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投资活动现金净流量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投资流入小计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投资流出小计</t>
    </r>
  </si>
  <si>
    <r>
      <rPr>
        <sz val="9"/>
        <color theme="1"/>
        <rFont val="宋体"/>
        <family val="3"/>
        <charset val="134"/>
      </rPr>
      <t>筹资活动现金流入小计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</si>
  <si>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筹资活动现金流出小计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</si>
  <si>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筹资活动现金净流量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筹资流入小计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3"/>
        <charset val="134"/>
      </rPr>
      <t>筹资流出小计</t>
    </r>
  </si>
  <si>
    <t>补充资料校验公式</t>
  </si>
  <si>
    <t xml:space="preserve"> 管理利润表（仅销售项目和以租代售项目填写）</t>
  </si>
  <si>
    <r>
      <rPr>
        <b/>
        <sz val="9"/>
        <rFont val="宋体"/>
        <family val="3"/>
        <charset val="134"/>
      </rPr>
      <t>序号</t>
    </r>
  </si>
  <si>
    <t>项目</t>
  </si>
  <si>
    <t>全年预算数</t>
  </si>
  <si>
    <t>本年累计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</si>
  <si>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</si>
  <si>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</si>
  <si>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</si>
  <si>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</si>
  <si>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</si>
  <si>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</si>
  <si>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</si>
  <si>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</si>
  <si>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</si>
  <si>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</si>
  <si>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</si>
  <si>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</si>
  <si>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rPr>
        <b/>
        <sz val="9"/>
        <rFont val="宋体"/>
        <family val="3"/>
        <charset val="134"/>
      </rPr>
      <t>金额</t>
    </r>
  </si>
  <si>
    <t>地上销售面积单价（元/m2）</t>
  </si>
  <si>
    <t xml:space="preserve">地上销售面积（平方米） </t>
  </si>
  <si>
    <t>1</t>
  </si>
  <si>
    <t>经营收入（签约口径）</t>
  </si>
  <si>
    <t>1.1</t>
  </si>
  <si>
    <t>其中：房地产销售收入</t>
  </si>
  <si>
    <t>1.2</t>
  </si>
  <si>
    <t>车位销售收入</t>
  </si>
  <si>
    <t>经营成本（目标成本口径）</t>
  </si>
  <si>
    <t>其中：开发间接费</t>
  </si>
  <si>
    <t>资本化利息</t>
  </si>
  <si>
    <t>税金及附加（不含土地增值税）</t>
  </si>
  <si>
    <r>
      <rPr>
        <sz val="9"/>
        <rFont val="宋体"/>
        <family val="3"/>
        <charset val="134"/>
      </rPr>
      <t>土地增值税</t>
    </r>
  </si>
  <si>
    <t>毛利</t>
  </si>
  <si>
    <t>毛利率</t>
  </si>
  <si>
    <t>5</t>
  </si>
  <si>
    <r>
      <rPr>
        <b/>
        <sz val="9"/>
        <rFont val="宋体"/>
        <family val="3"/>
        <charset val="134"/>
      </rPr>
      <t>期间费用</t>
    </r>
  </si>
  <si>
    <t>5.1</t>
  </si>
  <si>
    <r>
      <rPr>
        <sz val="9"/>
        <rFont val="宋体"/>
        <family val="3"/>
        <charset val="134"/>
      </rPr>
      <t>销售费用</t>
    </r>
  </si>
  <si>
    <r>
      <rPr>
        <b/>
        <sz val="9"/>
        <rFont val="宋体"/>
        <family val="3"/>
        <charset val="134"/>
      </rPr>
      <t>销售费用率％</t>
    </r>
  </si>
  <si>
    <t>5.2</t>
  </si>
  <si>
    <r>
      <rPr>
        <sz val="9"/>
        <rFont val="宋体"/>
        <family val="3"/>
        <charset val="134"/>
      </rPr>
      <t>管理费用</t>
    </r>
  </si>
  <si>
    <r>
      <rPr>
        <b/>
        <sz val="9"/>
        <rFont val="宋体"/>
        <family val="3"/>
        <charset val="134"/>
      </rPr>
      <t>管理费用率％</t>
    </r>
  </si>
  <si>
    <t>5.3</t>
  </si>
  <si>
    <r>
      <rPr>
        <sz val="9"/>
        <rFont val="宋体"/>
        <family val="3"/>
        <charset val="134"/>
      </rPr>
      <t>财务费用</t>
    </r>
  </si>
  <si>
    <t>其中：利息支出</t>
  </si>
  <si>
    <t>营业外收支净额</t>
  </si>
  <si>
    <r>
      <rPr>
        <b/>
        <sz val="9"/>
        <rFont val="宋体"/>
        <family val="3"/>
        <charset val="134"/>
      </rPr>
      <t>税前利润</t>
    </r>
  </si>
  <si>
    <r>
      <rPr>
        <sz val="9"/>
        <rFont val="宋体"/>
        <family val="3"/>
        <charset val="134"/>
      </rPr>
      <t>所得税</t>
    </r>
  </si>
  <si>
    <r>
      <rPr>
        <b/>
        <sz val="9"/>
        <rFont val="宋体"/>
        <family val="3"/>
        <charset val="134"/>
      </rPr>
      <t>税后净利润</t>
    </r>
  </si>
  <si>
    <t>销售净利率</t>
  </si>
  <si>
    <r>
      <rPr>
        <b/>
        <sz val="9"/>
        <rFont val="宋体"/>
        <family val="3"/>
        <charset val="134"/>
      </rPr>
      <t>内部业绩调整</t>
    </r>
  </si>
  <si>
    <t>资金占用费</t>
  </si>
  <si>
    <t>提取管理费</t>
  </si>
  <si>
    <t>投资溢价摊销</t>
  </si>
  <si>
    <t>内部业绩贡献利润</t>
  </si>
  <si>
    <t>备注：</t>
  </si>
  <si>
    <r>
      <rPr>
        <sz val="9"/>
        <rFont val="Arial"/>
        <family val="2"/>
      </rPr>
      <t>1</t>
    </r>
    <r>
      <rPr>
        <sz val="9"/>
        <rFont val="宋体"/>
        <family val="3"/>
        <charset val="134"/>
      </rPr>
      <t>、销售建筑面积或租赁面积以销售预测数据为准，经营收入为</t>
    </r>
    <r>
      <rPr>
        <sz val="9"/>
        <color rgb="FFFF0000"/>
        <rFont val="宋体"/>
        <family val="3"/>
        <charset val="134"/>
      </rPr>
      <t>不含税</t>
    </r>
    <r>
      <rPr>
        <sz val="9"/>
        <rFont val="宋体"/>
        <family val="3"/>
        <charset val="134"/>
      </rPr>
      <t>销售收入；</t>
    </r>
  </si>
  <si>
    <r>
      <rPr>
        <sz val="9"/>
        <rFont val="Arial"/>
        <family val="2"/>
      </rPr>
      <t>2</t>
    </r>
    <r>
      <rPr>
        <sz val="9"/>
        <rFont val="宋体"/>
        <family val="3"/>
        <charset val="134"/>
      </rPr>
      <t>、税金及附加根据各项目实际情况自行填列，为不含税销售额乘以适用税率或征收率乘以附加税合计税率。</t>
    </r>
  </si>
  <si>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、投资溢价摊销是指根据收购时点未售面积计算的单方收购溢价，乘以当期销售面积计算得出的金额。</t>
    </r>
  </si>
  <si>
    <r>
      <rPr>
        <sz val="9"/>
        <color rgb="FFFF0000"/>
        <rFont val="宋体"/>
        <family val="3"/>
        <charset val="134"/>
      </rPr>
      <t>校验公式</t>
    </r>
  </si>
  <si>
    <t>开发成本明细表</t>
  </si>
  <si>
    <t>汇总数据</t>
  </si>
  <si>
    <t>君康金融广场项目---一期</t>
  </si>
  <si>
    <t>XXX项目---二期</t>
  </si>
  <si>
    <t>XXX项目---三期</t>
  </si>
  <si>
    <t>合计</t>
  </si>
  <si>
    <t>抵销</t>
  </si>
  <si>
    <t>年初累计发生额</t>
  </si>
  <si>
    <t>本月发生额</t>
  </si>
  <si>
    <t>本年发生额</t>
  </si>
  <si>
    <t>自开工累计发生额</t>
  </si>
  <si>
    <t>结转开发成本累计金额</t>
  </si>
  <si>
    <t>开发成本期末余额</t>
  </si>
  <si>
    <t>1、土地费用</t>
  </si>
  <si>
    <r>
      <rPr>
        <sz val="9"/>
        <rFont val="Arial"/>
        <family val="2"/>
      </rPr>
      <t xml:space="preserve">1.1 </t>
    </r>
    <r>
      <rPr>
        <sz val="9"/>
        <rFont val="宋体"/>
        <family val="3"/>
        <charset val="134"/>
      </rPr>
      <t>地价款</t>
    </r>
  </si>
  <si>
    <r>
      <rPr>
        <sz val="9"/>
        <rFont val="Arial"/>
        <family val="2"/>
      </rPr>
      <t xml:space="preserve">1.2 </t>
    </r>
    <r>
      <rPr>
        <sz val="9"/>
        <rFont val="宋体"/>
        <family val="3"/>
        <charset val="134"/>
      </rPr>
      <t>合作补偿款</t>
    </r>
  </si>
  <si>
    <r>
      <rPr>
        <sz val="9"/>
        <rFont val="Arial"/>
        <family val="2"/>
      </rPr>
      <t xml:space="preserve">1.3 </t>
    </r>
    <r>
      <rPr>
        <sz val="9"/>
        <rFont val="宋体"/>
        <family val="3"/>
        <charset val="134"/>
      </rPr>
      <t>土地征用及拆迁补偿费用</t>
    </r>
  </si>
  <si>
    <r>
      <rPr>
        <sz val="9"/>
        <rFont val="Arial"/>
        <family val="2"/>
      </rPr>
      <t xml:space="preserve">1.4 </t>
    </r>
    <r>
      <rPr>
        <sz val="9"/>
        <rFont val="宋体"/>
        <family val="3"/>
        <charset val="134"/>
      </rPr>
      <t>红线外的市政配套费用</t>
    </r>
  </si>
  <si>
    <r>
      <rPr>
        <sz val="9"/>
        <rFont val="Arial"/>
        <family val="2"/>
      </rPr>
      <t xml:space="preserve">1.5 </t>
    </r>
    <r>
      <rPr>
        <sz val="9"/>
        <rFont val="宋体"/>
        <family val="3"/>
        <charset val="134"/>
      </rPr>
      <t>契税</t>
    </r>
  </si>
  <si>
    <r>
      <rPr>
        <sz val="9"/>
        <rFont val="Arial"/>
        <family val="2"/>
      </rPr>
      <t xml:space="preserve">1.6 </t>
    </r>
    <r>
      <rPr>
        <sz val="9"/>
        <rFont val="宋体"/>
        <family val="3"/>
        <charset val="134"/>
      </rPr>
      <t>土地交易佣金及手续费用</t>
    </r>
  </si>
  <si>
    <r>
      <rPr>
        <sz val="9"/>
        <rFont val="Arial"/>
        <family val="2"/>
      </rPr>
      <t xml:space="preserve">1.7 </t>
    </r>
    <r>
      <rPr>
        <sz val="9"/>
        <rFont val="宋体"/>
        <family val="3"/>
        <charset val="134"/>
      </rPr>
      <t>其他土地费用</t>
    </r>
  </si>
  <si>
    <r>
      <rPr>
        <b/>
        <sz val="9"/>
        <rFont val="Arial"/>
        <family val="2"/>
      </rPr>
      <t>2</t>
    </r>
    <r>
      <rPr>
        <b/>
        <sz val="9"/>
        <rFont val="宋体"/>
        <family val="3"/>
        <charset val="134"/>
      </rPr>
      <t>、前期工程费用</t>
    </r>
  </si>
  <si>
    <r>
      <rPr>
        <sz val="9"/>
        <rFont val="Arial"/>
        <family val="2"/>
      </rPr>
      <t xml:space="preserve">2.1 </t>
    </r>
    <r>
      <rPr>
        <sz val="9"/>
        <rFont val="宋体"/>
        <family val="3"/>
        <charset val="134"/>
      </rPr>
      <t>勘察设计费用</t>
    </r>
  </si>
  <si>
    <r>
      <rPr>
        <sz val="9"/>
        <rFont val="Arial"/>
        <family val="2"/>
      </rPr>
      <t xml:space="preserve">2.2 </t>
    </r>
    <r>
      <rPr>
        <sz val="9"/>
        <rFont val="宋体"/>
        <family val="3"/>
        <charset val="134"/>
      </rPr>
      <t>报批报建费用</t>
    </r>
  </si>
  <si>
    <r>
      <rPr>
        <sz val="9"/>
        <rFont val="Arial"/>
        <family val="2"/>
      </rPr>
      <t xml:space="preserve">2.3 </t>
    </r>
    <r>
      <rPr>
        <sz val="9"/>
        <rFont val="宋体"/>
        <family val="3"/>
        <charset val="134"/>
      </rPr>
      <t>招标代理及招标管理费用</t>
    </r>
  </si>
  <si>
    <r>
      <rPr>
        <sz val="9"/>
        <rFont val="Arial"/>
        <family val="2"/>
      </rPr>
      <t xml:space="preserve">2.4 </t>
    </r>
    <r>
      <rPr>
        <sz val="9"/>
        <rFont val="宋体"/>
        <family val="3"/>
        <charset val="134"/>
      </rPr>
      <t>三通一平费用</t>
    </r>
  </si>
  <si>
    <r>
      <rPr>
        <sz val="9"/>
        <rFont val="Arial"/>
        <family val="2"/>
      </rPr>
      <t xml:space="preserve">2.5 </t>
    </r>
    <r>
      <rPr>
        <sz val="9"/>
        <rFont val="宋体"/>
        <family val="3"/>
        <charset val="134"/>
      </rPr>
      <t>临时设施费用</t>
    </r>
  </si>
  <si>
    <r>
      <rPr>
        <sz val="9"/>
        <rFont val="Arial"/>
        <family val="2"/>
      </rPr>
      <t xml:space="preserve">2.6 </t>
    </r>
    <r>
      <rPr>
        <sz val="9"/>
        <rFont val="宋体"/>
        <family val="3"/>
        <charset val="134"/>
      </rPr>
      <t>前期咨询费用</t>
    </r>
  </si>
  <si>
    <r>
      <rPr>
        <sz val="9"/>
        <rFont val="Arial"/>
        <family val="2"/>
      </rPr>
      <t xml:space="preserve">2.7 </t>
    </r>
    <r>
      <rPr>
        <sz val="9"/>
        <rFont val="宋体"/>
        <family val="3"/>
        <charset val="134"/>
      </rPr>
      <t>其他前期工程费用</t>
    </r>
  </si>
  <si>
    <r>
      <rPr>
        <b/>
        <sz val="9"/>
        <rFont val="Arial"/>
        <family val="2"/>
      </rPr>
      <t>3</t>
    </r>
    <r>
      <rPr>
        <b/>
        <sz val="9"/>
        <rFont val="宋体"/>
        <family val="3"/>
        <charset val="134"/>
      </rPr>
      <t>、建筑安装工程费用</t>
    </r>
  </si>
  <si>
    <r>
      <rPr>
        <sz val="9"/>
        <rFont val="Arial"/>
        <family val="2"/>
      </rPr>
      <t xml:space="preserve">3.1 </t>
    </r>
    <r>
      <rPr>
        <sz val="9"/>
        <rFont val="宋体"/>
        <family val="3"/>
        <charset val="134"/>
      </rPr>
      <t>土建工程费用</t>
    </r>
  </si>
  <si>
    <r>
      <rPr>
        <sz val="9"/>
        <rFont val="Arial"/>
        <family val="2"/>
      </rPr>
      <t xml:space="preserve">3.2 </t>
    </r>
    <r>
      <rPr>
        <sz val="9"/>
        <rFont val="宋体"/>
        <family val="3"/>
        <charset val="134"/>
      </rPr>
      <t>精装修工程费用</t>
    </r>
  </si>
  <si>
    <r>
      <rPr>
        <sz val="9"/>
        <rFont val="Arial"/>
        <family val="2"/>
      </rPr>
      <t xml:space="preserve">3.3 </t>
    </r>
    <r>
      <rPr>
        <sz val="9"/>
        <rFont val="宋体"/>
        <family val="3"/>
        <charset val="134"/>
      </rPr>
      <t>示范区工程费用</t>
    </r>
  </si>
  <si>
    <r>
      <rPr>
        <sz val="9"/>
        <rFont val="Arial"/>
        <family val="2"/>
      </rPr>
      <t xml:space="preserve">3.4 </t>
    </r>
    <r>
      <rPr>
        <sz val="9"/>
        <rFont val="宋体"/>
        <family val="3"/>
        <charset val="134"/>
      </rPr>
      <t>安装工程费用</t>
    </r>
  </si>
  <si>
    <r>
      <rPr>
        <sz val="9"/>
        <rFont val="Arial"/>
        <family val="2"/>
      </rPr>
      <t xml:space="preserve">3.5 </t>
    </r>
    <r>
      <rPr>
        <sz val="9"/>
        <rFont val="宋体"/>
        <family val="3"/>
        <charset val="134"/>
      </rPr>
      <t>设备材料费用</t>
    </r>
  </si>
  <si>
    <r>
      <rPr>
        <sz val="9"/>
        <rFont val="Arial"/>
        <family val="2"/>
      </rPr>
      <t xml:space="preserve">3.6 </t>
    </r>
    <r>
      <rPr>
        <sz val="9"/>
        <rFont val="宋体"/>
        <family val="3"/>
        <charset val="134"/>
      </rPr>
      <t>工程管理费用</t>
    </r>
  </si>
  <si>
    <r>
      <rPr>
        <sz val="9"/>
        <rFont val="Arial"/>
        <family val="2"/>
      </rPr>
      <t xml:space="preserve">3.7 </t>
    </r>
    <r>
      <rPr>
        <sz val="9"/>
        <rFont val="宋体"/>
        <family val="3"/>
        <charset val="134"/>
      </rPr>
      <t>其他建筑安装工程费用</t>
    </r>
  </si>
  <si>
    <r>
      <rPr>
        <b/>
        <sz val="9"/>
        <rFont val="Arial"/>
        <family val="2"/>
      </rPr>
      <t>4</t>
    </r>
    <r>
      <rPr>
        <b/>
        <sz val="9"/>
        <rFont val="宋体"/>
        <family val="3"/>
        <charset val="134"/>
      </rPr>
      <t>、基础设施建设费用</t>
    </r>
  </si>
  <si>
    <r>
      <rPr>
        <sz val="9"/>
        <rFont val="Arial"/>
        <family val="2"/>
      </rPr>
      <t xml:space="preserve">4.1 </t>
    </r>
    <r>
      <rPr>
        <sz val="9"/>
        <rFont val="宋体"/>
        <family val="3"/>
        <charset val="134"/>
      </rPr>
      <t>红线内小市政工程费用</t>
    </r>
  </si>
  <si>
    <r>
      <rPr>
        <sz val="9"/>
        <rFont val="Arial"/>
        <family val="2"/>
      </rPr>
      <t xml:space="preserve">4.2 </t>
    </r>
    <r>
      <rPr>
        <sz val="9"/>
        <rFont val="宋体"/>
        <family val="3"/>
        <charset val="134"/>
      </rPr>
      <t>园林景观工程费用</t>
    </r>
  </si>
  <si>
    <r>
      <rPr>
        <sz val="9"/>
        <rFont val="Arial"/>
        <family val="2"/>
      </rPr>
      <t xml:space="preserve">4.3 </t>
    </r>
    <r>
      <rPr>
        <sz val="9"/>
        <rFont val="宋体"/>
        <family val="3"/>
        <charset val="134"/>
      </rPr>
      <t>红线外大市政工程费用</t>
    </r>
  </si>
  <si>
    <r>
      <rPr>
        <sz val="9"/>
        <rFont val="Arial"/>
        <family val="2"/>
      </rPr>
      <t xml:space="preserve">4.4 </t>
    </r>
    <r>
      <rPr>
        <sz val="9"/>
        <rFont val="宋体"/>
        <family val="3"/>
        <charset val="134"/>
      </rPr>
      <t>其他基础设施建设费用</t>
    </r>
  </si>
  <si>
    <t>5、公共配套设施费</t>
  </si>
  <si>
    <r>
      <rPr>
        <sz val="9"/>
        <rFont val="Arial"/>
        <family val="2"/>
      </rPr>
      <t xml:space="preserve">5.1 </t>
    </r>
    <r>
      <rPr>
        <sz val="9"/>
        <rFont val="宋体"/>
        <family val="3"/>
        <charset val="134"/>
      </rPr>
      <t>会所建设费</t>
    </r>
  </si>
  <si>
    <r>
      <rPr>
        <sz val="9"/>
        <rFont val="Arial"/>
        <family val="2"/>
      </rPr>
      <t xml:space="preserve">5.1 </t>
    </r>
    <r>
      <rPr>
        <sz val="9"/>
        <rFont val="宋体"/>
        <family val="3"/>
        <charset val="134"/>
      </rPr>
      <t>配套设施建设费</t>
    </r>
  </si>
  <si>
    <t>5.3 公共设施维修基金</t>
  </si>
  <si>
    <t>5.4 其他配套设施费</t>
  </si>
  <si>
    <r>
      <rPr>
        <b/>
        <sz val="9"/>
        <rFont val="Arial"/>
        <family val="2"/>
      </rPr>
      <t>6</t>
    </r>
    <r>
      <rPr>
        <b/>
        <sz val="9"/>
        <rFont val="宋体"/>
        <family val="3"/>
        <charset val="134"/>
      </rPr>
      <t>、物业费用</t>
    </r>
  </si>
  <si>
    <t>7、开发间接费用</t>
  </si>
  <si>
    <r>
      <rPr>
        <sz val="9"/>
        <rFont val="Arial"/>
        <family val="2"/>
      </rPr>
      <t xml:space="preserve">7.1 </t>
    </r>
    <r>
      <rPr>
        <sz val="9"/>
        <rFont val="宋体"/>
        <family val="3"/>
        <charset val="134"/>
      </rPr>
      <t>日常营运费用</t>
    </r>
  </si>
  <si>
    <r>
      <rPr>
        <sz val="9"/>
        <rFont val="Arial"/>
        <family val="2"/>
      </rPr>
      <t xml:space="preserve">7.2 </t>
    </r>
    <r>
      <rPr>
        <sz val="9"/>
        <rFont val="宋体"/>
        <family val="3"/>
        <charset val="134"/>
      </rPr>
      <t>法律及咨询费用</t>
    </r>
  </si>
  <si>
    <r>
      <rPr>
        <sz val="9"/>
        <rFont val="Arial"/>
        <family val="2"/>
      </rPr>
      <t xml:space="preserve">7.3 </t>
    </r>
    <r>
      <rPr>
        <sz val="9"/>
        <rFont val="宋体"/>
        <family val="3"/>
        <charset val="134"/>
      </rPr>
      <t>人力资源费用</t>
    </r>
  </si>
  <si>
    <r>
      <rPr>
        <sz val="9"/>
        <rFont val="Arial"/>
        <family val="2"/>
      </rPr>
      <t xml:space="preserve">7.4 </t>
    </r>
    <r>
      <rPr>
        <sz val="9"/>
        <rFont val="宋体"/>
        <family val="3"/>
        <charset val="134"/>
      </rPr>
      <t>固定类费用</t>
    </r>
  </si>
  <si>
    <r>
      <rPr>
        <sz val="9"/>
        <rFont val="Arial"/>
        <family val="2"/>
      </rPr>
      <t xml:space="preserve">7.5 </t>
    </r>
    <r>
      <rPr>
        <sz val="9"/>
        <rFont val="宋体"/>
        <family val="3"/>
        <charset val="134"/>
      </rPr>
      <t>其他间接费用</t>
    </r>
  </si>
  <si>
    <t>8、资本化利息</t>
  </si>
  <si>
    <r>
      <rPr>
        <sz val="9"/>
        <rFont val="Arial"/>
        <family val="2"/>
      </rPr>
      <t xml:space="preserve">8.1 </t>
    </r>
    <r>
      <rPr>
        <sz val="9"/>
        <rFont val="宋体"/>
        <family val="3"/>
        <charset val="134"/>
      </rPr>
      <t>借款利息</t>
    </r>
  </si>
  <si>
    <r>
      <rPr>
        <sz val="9"/>
        <rFont val="Arial"/>
        <family val="2"/>
      </rPr>
      <t xml:space="preserve">8.2 </t>
    </r>
    <r>
      <rPr>
        <sz val="9"/>
        <rFont val="宋体"/>
        <family val="3"/>
        <charset val="134"/>
      </rPr>
      <t>融资费用</t>
    </r>
  </si>
  <si>
    <r>
      <rPr>
        <sz val="9"/>
        <rFont val="Arial"/>
        <family val="2"/>
      </rPr>
      <t xml:space="preserve">8.3 </t>
    </r>
    <r>
      <rPr>
        <sz val="9"/>
        <rFont val="宋体"/>
        <family val="3"/>
        <charset val="134"/>
      </rPr>
      <t>其他财务费用</t>
    </r>
  </si>
  <si>
    <t>9、合计</t>
  </si>
  <si>
    <r>
      <rPr>
        <b/>
        <sz val="10"/>
        <rFont val="Arial"/>
        <family val="2"/>
      </rPr>
      <t>1</t>
    </r>
    <r>
      <rPr>
        <b/>
        <sz val="10"/>
        <rFont val="宋体"/>
        <family val="3"/>
        <charset val="134"/>
      </rPr>
      <t>、如果开发项目分期建造开发，应按各期分别填列。</t>
    </r>
  </si>
  <si>
    <r>
      <rPr>
        <b/>
        <sz val="10"/>
        <rFont val="Arial"/>
        <family val="2"/>
      </rPr>
      <t>2</t>
    </r>
    <r>
      <rPr>
        <b/>
        <sz val="10"/>
        <rFont val="宋体"/>
        <family val="3"/>
        <charset val="134"/>
      </rPr>
      <t>、本表数据填列口径说明：</t>
    </r>
  </si>
  <si>
    <r>
      <rPr>
        <b/>
        <sz val="10"/>
        <rFont val="Arial"/>
        <family val="2"/>
      </rPr>
      <t>“</t>
    </r>
    <r>
      <rPr>
        <b/>
        <sz val="10"/>
        <rFont val="宋体"/>
        <family val="3"/>
        <charset val="134"/>
      </rPr>
      <t>年初累计发生额</t>
    </r>
    <r>
      <rPr>
        <b/>
        <sz val="10"/>
        <rFont val="Arial"/>
        <family val="2"/>
      </rPr>
      <t>”</t>
    </r>
    <r>
      <rPr>
        <b/>
        <sz val="10"/>
        <rFont val="宋体"/>
        <family val="3"/>
        <charset val="134"/>
      </rPr>
      <t>指开发成本自项目开工至上年年末累计发生金额；</t>
    </r>
  </si>
  <si>
    <r>
      <rPr>
        <b/>
        <sz val="10"/>
        <rFont val="Arial"/>
        <family val="2"/>
      </rPr>
      <t>“</t>
    </r>
    <r>
      <rPr>
        <b/>
        <sz val="10"/>
        <rFont val="宋体"/>
        <family val="3"/>
        <charset val="134"/>
      </rPr>
      <t>自开工累计发生额</t>
    </r>
    <r>
      <rPr>
        <b/>
        <sz val="10"/>
        <rFont val="Arial"/>
        <family val="2"/>
      </rPr>
      <t>”</t>
    </r>
    <r>
      <rPr>
        <b/>
        <sz val="10"/>
        <rFont val="宋体"/>
        <family val="3"/>
        <charset val="134"/>
      </rPr>
      <t>指开发成本自项目开工至本期期末累计发生金额；</t>
    </r>
  </si>
  <si>
    <r>
      <rPr>
        <b/>
        <sz val="10"/>
        <rFont val="Arial"/>
        <family val="2"/>
      </rPr>
      <t>“</t>
    </r>
    <r>
      <rPr>
        <b/>
        <sz val="10"/>
        <rFont val="宋体"/>
        <family val="3"/>
        <charset val="134"/>
      </rPr>
      <t>结转成本累计金额</t>
    </r>
    <r>
      <rPr>
        <b/>
        <sz val="10"/>
        <rFont val="Arial"/>
        <family val="2"/>
      </rPr>
      <t>”</t>
    </r>
    <r>
      <rPr>
        <b/>
        <sz val="10"/>
        <rFont val="宋体"/>
        <family val="3"/>
        <charset val="134"/>
      </rPr>
      <t>指从</t>
    </r>
    <r>
      <rPr>
        <b/>
        <sz val="10"/>
        <rFont val="Arial"/>
        <family val="2"/>
      </rPr>
      <t>“</t>
    </r>
    <r>
      <rPr>
        <b/>
        <sz val="10"/>
        <rFont val="宋体"/>
        <family val="3"/>
        <charset val="134"/>
      </rPr>
      <t>开发成本</t>
    </r>
    <r>
      <rPr>
        <b/>
        <sz val="10"/>
        <rFont val="Arial"/>
        <family val="2"/>
      </rPr>
      <t>”</t>
    </r>
    <r>
      <rPr>
        <b/>
        <sz val="10"/>
        <rFont val="宋体"/>
        <family val="3"/>
        <charset val="134"/>
      </rPr>
      <t>科目结转到</t>
    </r>
    <r>
      <rPr>
        <b/>
        <sz val="10"/>
        <rFont val="Arial"/>
        <family val="2"/>
      </rPr>
      <t>“</t>
    </r>
    <r>
      <rPr>
        <b/>
        <sz val="10"/>
        <rFont val="宋体"/>
        <family val="3"/>
        <charset val="134"/>
      </rPr>
      <t>开发产品</t>
    </r>
    <r>
      <rPr>
        <b/>
        <sz val="10"/>
        <rFont val="Arial"/>
        <family val="2"/>
      </rPr>
      <t>”</t>
    </r>
    <r>
      <rPr>
        <b/>
        <sz val="10"/>
        <rFont val="宋体"/>
        <family val="3"/>
        <charset val="134"/>
      </rPr>
      <t>及</t>
    </r>
    <r>
      <rPr>
        <b/>
        <sz val="10"/>
        <rFont val="Arial"/>
        <family val="2"/>
      </rPr>
      <t>“</t>
    </r>
    <r>
      <rPr>
        <b/>
        <sz val="10"/>
        <rFont val="宋体"/>
        <family val="3"/>
        <charset val="134"/>
      </rPr>
      <t>销售成本</t>
    </r>
    <r>
      <rPr>
        <b/>
        <sz val="10"/>
        <rFont val="Arial"/>
        <family val="2"/>
      </rPr>
      <t>”</t>
    </r>
    <r>
      <rPr>
        <b/>
        <sz val="10"/>
        <rFont val="宋体"/>
        <family val="3"/>
        <charset val="134"/>
      </rPr>
      <t>科目的全部金额，包括本年及以前年度结转金额；</t>
    </r>
  </si>
  <si>
    <r>
      <rPr>
        <b/>
        <sz val="10"/>
        <rFont val="Arial"/>
        <family val="2"/>
      </rPr>
      <t>“</t>
    </r>
    <r>
      <rPr>
        <b/>
        <sz val="10"/>
        <rFont val="宋体"/>
        <family val="3"/>
        <charset val="134"/>
      </rPr>
      <t>开发成本期末余额</t>
    </r>
    <r>
      <rPr>
        <b/>
        <sz val="10"/>
        <rFont val="Arial"/>
        <family val="2"/>
      </rPr>
      <t>”</t>
    </r>
    <r>
      <rPr>
        <b/>
        <sz val="10"/>
        <rFont val="宋体"/>
        <family val="3"/>
        <charset val="134"/>
      </rPr>
      <t>与资产负债表期末开发成本余额一致。</t>
    </r>
  </si>
  <si>
    <r>
      <rPr>
        <sz val="10"/>
        <color rgb="FFFF0000"/>
        <rFont val="宋体"/>
        <family val="3"/>
        <charset val="134"/>
      </rPr>
      <t>校验公式</t>
    </r>
  </si>
  <si>
    <r>
      <rPr>
        <sz val="9"/>
        <color theme="1"/>
        <rFont val="宋体"/>
        <family val="3"/>
        <charset val="134"/>
      </rPr>
      <t>土地费用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</si>
  <si>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开发前期准备费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</si>
  <si>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建筑安装工程费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</si>
  <si>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基础设施费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</si>
  <si>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公共配套设施费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</si>
  <si>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开发间接费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</si>
  <si>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r>
      <rPr>
        <sz val="9"/>
        <color theme="1"/>
        <rFont val="宋体"/>
        <family val="3"/>
        <charset val="134"/>
      </rPr>
      <t>资本化利息</t>
    </r>
    <r>
      <rPr>
        <sz val="9"/>
        <color theme="1"/>
        <rFont val="Arial"/>
        <family val="2"/>
      </rPr>
      <t>=</t>
    </r>
    <r>
      <rPr>
        <sz val="9"/>
        <color theme="1"/>
        <rFont val="宋体"/>
        <family val="3"/>
        <charset val="134"/>
      </rPr>
      <t>明细合计</t>
    </r>
  </si>
  <si>
    <t>总体费用明细表（自动计算）</t>
  </si>
  <si>
    <r>
      <rPr>
        <b/>
        <sz val="9"/>
        <rFont val="宋体"/>
        <family val="3"/>
        <charset val="134"/>
      </rPr>
      <t>项目</t>
    </r>
  </si>
  <si>
    <r>
      <rPr>
        <b/>
        <sz val="9"/>
        <rFont val="宋体"/>
        <family val="3"/>
        <charset val="134"/>
      </rPr>
      <t>全年预算数</t>
    </r>
  </si>
  <si>
    <t>累计完成率</t>
  </si>
  <si>
    <t>小计</t>
  </si>
  <si>
    <t>开发间接费</t>
  </si>
  <si>
    <r>
      <rPr>
        <b/>
        <sz val="9"/>
        <rFont val="宋体"/>
        <family val="3"/>
        <charset val="134"/>
      </rPr>
      <t>总计</t>
    </r>
  </si>
  <si>
    <r>
      <rPr>
        <b/>
        <sz val="9"/>
        <rFont val="宋体"/>
        <family val="3"/>
        <charset val="134"/>
      </rPr>
      <t>销售费用</t>
    </r>
  </si>
  <si>
    <r>
      <rPr>
        <b/>
        <sz val="9"/>
        <rFont val="宋体"/>
        <family val="3"/>
        <charset val="134"/>
      </rPr>
      <t>管理费用</t>
    </r>
  </si>
  <si>
    <r>
      <rPr>
        <b/>
        <sz val="9"/>
        <rFont val="宋体"/>
        <family val="3"/>
        <charset val="134"/>
      </rPr>
      <t>开发间接费</t>
    </r>
  </si>
  <si>
    <r>
      <rPr>
        <b/>
        <sz val="9"/>
        <rFont val="宋体"/>
        <family val="3"/>
        <charset val="134"/>
      </rPr>
      <t>人工费用小计</t>
    </r>
  </si>
  <si>
    <r>
      <rPr>
        <sz val="9"/>
        <rFont val="宋体"/>
        <family val="3"/>
        <charset val="134"/>
      </rPr>
      <t>固定工资</t>
    </r>
  </si>
  <si>
    <r>
      <rPr>
        <sz val="9"/>
        <rFont val="宋体"/>
        <family val="3"/>
        <charset val="134"/>
      </rPr>
      <t>绩效工资</t>
    </r>
  </si>
  <si>
    <r>
      <rPr>
        <sz val="9"/>
        <rFont val="宋体"/>
        <family val="3"/>
        <charset val="134"/>
      </rPr>
      <t>奖金</t>
    </r>
  </si>
  <si>
    <t>社会保险费</t>
  </si>
  <si>
    <t>住房公积金</t>
  </si>
  <si>
    <t>2</t>
  </si>
  <si>
    <r>
      <rPr>
        <b/>
        <sz val="9"/>
        <rFont val="宋体"/>
        <family val="3"/>
        <charset val="134"/>
      </rPr>
      <t>费用支出小计</t>
    </r>
  </si>
  <si>
    <t>邮寄费</t>
  </si>
  <si>
    <t>2.2</t>
  </si>
  <si>
    <r>
      <rPr>
        <sz val="9"/>
        <rFont val="宋体"/>
        <family val="3"/>
        <charset val="134"/>
      </rPr>
      <t>差旅费</t>
    </r>
  </si>
  <si>
    <t>2.3</t>
  </si>
  <si>
    <r>
      <rPr>
        <sz val="9"/>
        <rFont val="宋体"/>
        <family val="3"/>
        <charset val="134"/>
      </rPr>
      <t>业务招待费</t>
    </r>
  </si>
  <si>
    <t>2.4</t>
  </si>
  <si>
    <r>
      <rPr>
        <sz val="9"/>
        <rFont val="宋体"/>
        <family val="3"/>
        <charset val="134"/>
      </rPr>
      <t>汽车费</t>
    </r>
  </si>
  <si>
    <t>2.5</t>
  </si>
  <si>
    <r>
      <rPr>
        <sz val="9"/>
        <rFont val="宋体"/>
        <family val="3"/>
        <charset val="134"/>
      </rPr>
      <t>低值易耗品及修理费</t>
    </r>
  </si>
  <si>
    <t>2.6</t>
  </si>
  <si>
    <r>
      <rPr>
        <sz val="9"/>
        <rFont val="宋体"/>
        <family val="3"/>
        <charset val="134"/>
      </rPr>
      <t>信息系统费</t>
    </r>
  </si>
  <si>
    <t>2.7</t>
  </si>
  <si>
    <r>
      <rPr>
        <sz val="9"/>
        <rFont val="宋体"/>
        <family val="3"/>
        <charset val="134"/>
      </rPr>
      <t>通讯费</t>
    </r>
  </si>
  <si>
    <t>2.8</t>
  </si>
  <si>
    <r>
      <rPr>
        <sz val="9"/>
        <rFont val="宋体"/>
        <family val="3"/>
        <charset val="134"/>
      </rPr>
      <t>交通费</t>
    </r>
  </si>
  <si>
    <t>2.9</t>
  </si>
  <si>
    <t>办公费</t>
  </si>
  <si>
    <t>2.10</t>
  </si>
  <si>
    <r>
      <rPr>
        <sz val="9"/>
        <rFont val="宋体"/>
        <family val="3"/>
        <charset val="134"/>
      </rPr>
      <t>会议费</t>
    </r>
  </si>
  <si>
    <t>2.11</t>
  </si>
  <si>
    <t>水电费</t>
  </si>
  <si>
    <t>2.12</t>
  </si>
  <si>
    <r>
      <rPr>
        <sz val="9"/>
        <rFont val="宋体"/>
        <family val="3"/>
        <charset val="134"/>
      </rPr>
      <t>招聘费</t>
    </r>
  </si>
  <si>
    <t>2.13</t>
  </si>
  <si>
    <r>
      <rPr>
        <sz val="9"/>
        <rFont val="宋体"/>
        <family val="3"/>
        <charset val="134"/>
      </rPr>
      <t>展览费</t>
    </r>
  </si>
  <si>
    <t>2.14</t>
  </si>
  <si>
    <r>
      <rPr>
        <sz val="9"/>
        <rFont val="宋体"/>
        <family val="3"/>
        <charset val="134"/>
      </rPr>
      <t>广告宣传费</t>
    </r>
  </si>
  <si>
    <t>2.15</t>
  </si>
  <si>
    <r>
      <rPr>
        <sz val="9"/>
        <rFont val="宋体"/>
        <family val="3"/>
        <charset val="134"/>
      </rPr>
      <t>咨询服务费</t>
    </r>
  </si>
  <si>
    <t>2.16</t>
  </si>
  <si>
    <r>
      <rPr>
        <sz val="9"/>
        <rFont val="宋体"/>
        <family val="3"/>
        <charset val="134"/>
      </rPr>
      <t>法律诉讼费</t>
    </r>
  </si>
  <si>
    <t>2.17</t>
  </si>
  <si>
    <t>工作餐费</t>
  </si>
  <si>
    <t>2.18</t>
  </si>
  <si>
    <r>
      <rPr>
        <sz val="9"/>
        <rFont val="宋体"/>
        <family val="3"/>
        <charset val="134"/>
      </rPr>
      <t>报关及代理费</t>
    </r>
  </si>
  <si>
    <t>2.19</t>
  </si>
  <si>
    <r>
      <rPr>
        <sz val="9"/>
        <rFont val="宋体"/>
        <family val="3"/>
        <charset val="134"/>
      </rPr>
      <t>研究开发费</t>
    </r>
  </si>
  <si>
    <t>2.20</t>
  </si>
  <si>
    <r>
      <rPr>
        <sz val="9"/>
        <rFont val="宋体"/>
        <family val="3"/>
        <charset val="134"/>
      </rPr>
      <t>质检认证费</t>
    </r>
  </si>
  <si>
    <t>2.21</t>
  </si>
  <si>
    <t>福利费</t>
  </si>
  <si>
    <t>2.22</t>
  </si>
  <si>
    <r>
      <rPr>
        <sz val="9"/>
        <rFont val="宋体"/>
        <family val="3"/>
        <charset val="134"/>
      </rPr>
      <t>排污费</t>
    </r>
  </si>
  <si>
    <t>2.23</t>
  </si>
  <si>
    <t>社保服务费</t>
  </si>
  <si>
    <t>2.24</t>
  </si>
  <si>
    <r>
      <rPr>
        <sz val="9"/>
        <rFont val="宋体"/>
        <family val="3"/>
        <charset val="134"/>
      </rPr>
      <t>劳动保护费</t>
    </r>
  </si>
  <si>
    <t>2.25</t>
  </si>
  <si>
    <t>残疾人就业保障金</t>
  </si>
  <si>
    <t>2.26</t>
  </si>
  <si>
    <r>
      <rPr>
        <sz val="9"/>
        <rFont val="宋体"/>
        <family val="3"/>
        <charset val="134"/>
      </rPr>
      <t>财产保险费</t>
    </r>
  </si>
  <si>
    <t>2.27</t>
  </si>
  <si>
    <t>房租及物业费</t>
  </si>
  <si>
    <t>2.28</t>
  </si>
  <si>
    <r>
      <rPr>
        <sz val="9"/>
        <rFont val="宋体"/>
        <family val="3"/>
        <charset val="134"/>
      </rPr>
      <t>开办费</t>
    </r>
  </si>
  <si>
    <t>2.29</t>
  </si>
  <si>
    <r>
      <rPr>
        <sz val="9"/>
        <rFont val="宋体"/>
        <family val="3"/>
        <charset val="134"/>
      </rPr>
      <t>存货盘存</t>
    </r>
  </si>
  <si>
    <t>2.30</t>
  </si>
  <si>
    <t>销售代理费</t>
  </si>
  <si>
    <t>2.31</t>
  </si>
  <si>
    <t>销售佣金</t>
  </si>
  <si>
    <t>2.32</t>
  </si>
  <si>
    <r>
      <rPr>
        <b/>
        <sz val="9"/>
        <rFont val="宋体"/>
        <family val="3"/>
        <charset val="134"/>
      </rPr>
      <t>折旧摊销小计</t>
    </r>
  </si>
  <si>
    <r>
      <rPr>
        <sz val="9"/>
        <rFont val="宋体"/>
        <family val="3"/>
        <charset val="134"/>
      </rPr>
      <t>固定资产折旧</t>
    </r>
  </si>
  <si>
    <r>
      <rPr>
        <sz val="9"/>
        <rFont val="宋体"/>
        <family val="3"/>
        <charset val="134"/>
      </rPr>
      <t>无形资产摊销</t>
    </r>
  </si>
  <si>
    <r>
      <rPr>
        <sz val="9"/>
        <rFont val="宋体"/>
        <family val="3"/>
        <charset val="134"/>
      </rPr>
      <t>长期待摊销费用</t>
    </r>
  </si>
  <si>
    <t>4</t>
  </si>
  <si>
    <t>财务费用小计</t>
  </si>
  <si>
    <t>4.1</t>
  </si>
  <si>
    <t>利息支出</t>
  </si>
  <si>
    <t>4.2</t>
  </si>
  <si>
    <t>4.3</t>
  </si>
  <si>
    <t>银行手续费</t>
  </si>
  <si>
    <t>4.4</t>
  </si>
  <si>
    <t>其他财务费用</t>
  </si>
  <si>
    <t>4.5</t>
  </si>
  <si>
    <t>担保费</t>
  </si>
  <si>
    <r>
      <rPr>
        <b/>
        <sz val="9"/>
        <rFont val="宋体"/>
        <family val="3"/>
        <charset val="134"/>
      </rPr>
      <t>合计</t>
    </r>
    <r>
      <rPr>
        <b/>
        <sz val="9"/>
        <rFont val="Arial"/>
        <family val="2"/>
      </rPr>
      <t>=</t>
    </r>
    <r>
      <rPr>
        <b/>
        <sz val="9"/>
        <rFont val="宋体"/>
        <family val="3"/>
        <charset val="134"/>
      </rPr>
      <t>明细合计</t>
    </r>
  </si>
  <si>
    <t>序号</t>
  </si>
  <si>
    <r>
      <rPr>
        <b/>
        <sz val="9"/>
        <rFont val="宋体"/>
        <family val="3"/>
        <charset val="134"/>
      </rPr>
      <t>资金提供方</t>
    </r>
  </si>
  <si>
    <r>
      <rPr>
        <b/>
        <sz val="9"/>
        <rFont val="宋体"/>
        <family val="3"/>
        <charset val="134"/>
      </rPr>
      <t>融资类型</t>
    </r>
  </si>
  <si>
    <t>担保方式</t>
  </si>
  <si>
    <r>
      <rPr>
        <b/>
        <sz val="9"/>
        <rFont val="宋体"/>
        <family val="3"/>
        <charset val="134"/>
      </rPr>
      <t>报表项目</t>
    </r>
  </si>
  <si>
    <r>
      <rPr>
        <b/>
        <sz val="9"/>
        <rFont val="宋体"/>
        <family val="3"/>
        <charset val="134"/>
      </rPr>
      <t>融资本金</t>
    </r>
  </si>
  <si>
    <r>
      <rPr>
        <b/>
        <sz val="9"/>
        <rFont val="宋体"/>
        <family val="3"/>
        <charset val="134"/>
      </rPr>
      <t>起息日
年</t>
    </r>
    <r>
      <rPr>
        <b/>
        <sz val="9"/>
        <rFont val="Arial"/>
        <family val="2"/>
      </rPr>
      <t>-</t>
    </r>
    <r>
      <rPr>
        <b/>
        <sz val="9"/>
        <rFont val="宋体"/>
        <family val="3"/>
        <charset val="134"/>
      </rPr>
      <t>月</t>
    </r>
    <r>
      <rPr>
        <b/>
        <sz val="9"/>
        <rFont val="Arial"/>
        <family val="2"/>
      </rPr>
      <t>-</t>
    </r>
    <r>
      <rPr>
        <b/>
        <sz val="9"/>
        <rFont val="宋体"/>
        <family val="3"/>
        <charset val="134"/>
      </rPr>
      <t>日</t>
    </r>
  </si>
  <si>
    <r>
      <rPr>
        <b/>
        <sz val="9"/>
        <rFont val="宋体"/>
        <family val="3"/>
        <charset val="134"/>
      </rPr>
      <t>到期日
年</t>
    </r>
    <r>
      <rPr>
        <b/>
        <sz val="9"/>
        <rFont val="Arial"/>
        <family val="2"/>
      </rPr>
      <t>-</t>
    </r>
    <r>
      <rPr>
        <b/>
        <sz val="9"/>
        <rFont val="宋体"/>
        <family val="3"/>
        <charset val="134"/>
      </rPr>
      <t>月</t>
    </r>
    <r>
      <rPr>
        <b/>
        <sz val="9"/>
        <rFont val="Arial"/>
        <family val="2"/>
      </rPr>
      <t>-</t>
    </r>
    <r>
      <rPr>
        <b/>
        <sz val="9"/>
        <rFont val="宋体"/>
        <family val="3"/>
        <charset val="134"/>
      </rPr>
      <t>日</t>
    </r>
  </si>
  <si>
    <r>
      <rPr>
        <b/>
        <sz val="9"/>
        <rFont val="宋体"/>
        <family val="3"/>
        <charset val="134"/>
      </rPr>
      <t>年利率</t>
    </r>
  </si>
  <si>
    <r>
      <rPr>
        <b/>
        <sz val="9"/>
        <rFont val="宋体"/>
        <family val="3"/>
        <charset val="134"/>
      </rPr>
      <t>本月利息支出</t>
    </r>
  </si>
  <si>
    <r>
      <rPr>
        <b/>
        <sz val="9"/>
        <rFont val="宋体"/>
        <family val="3"/>
        <charset val="134"/>
      </rPr>
      <t>本年利息支出</t>
    </r>
  </si>
  <si>
    <r>
      <rPr>
        <sz val="9"/>
        <rFont val="宋体"/>
        <family val="3"/>
        <charset val="134"/>
      </rPr>
      <t>其中：本年费用化利息支出</t>
    </r>
  </si>
  <si>
    <r>
      <rPr>
        <sz val="9"/>
        <rFont val="宋体"/>
        <family val="3"/>
        <charset val="134"/>
      </rPr>
      <t>其中：本年资本化利息支出</t>
    </r>
  </si>
  <si>
    <t>从借款日开始累计利息支出</t>
  </si>
  <si>
    <r>
      <rPr>
        <sz val="9"/>
        <rFont val="宋体"/>
        <family val="3"/>
        <charset val="134"/>
      </rPr>
      <t>其中：累计费用化利息支出</t>
    </r>
  </si>
  <si>
    <r>
      <rPr>
        <sz val="9"/>
        <rFont val="宋体"/>
        <family val="3"/>
        <charset val="134"/>
      </rPr>
      <t>其中：累计资本化利息支出</t>
    </r>
  </si>
  <si>
    <r>
      <rPr>
        <b/>
        <sz val="9"/>
        <rFont val="宋体"/>
        <family val="3"/>
        <charset val="134"/>
      </rPr>
      <t>年初余额</t>
    </r>
  </si>
  <si>
    <r>
      <rPr>
        <b/>
        <sz val="9"/>
        <rFont val="宋体"/>
        <family val="3"/>
        <charset val="134"/>
      </rPr>
      <t>本月新增</t>
    </r>
  </si>
  <si>
    <r>
      <rPr>
        <b/>
        <sz val="9"/>
        <rFont val="宋体"/>
        <family val="3"/>
        <charset val="134"/>
      </rPr>
      <t>本年新增</t>
    </r>
  </si>
  <si>
    <r>
      <rPr>
        <b/>
        <sz val="9"/>
        <rFont val="宋体"/>
        <family val="3"/>
        <charset val="134"/>
      </rPr>
      <t>本月还贷</t>
    </r>
  </si>
  <si>
    <r>
      <rPr>
        <b/>
        <sz val="9"/>
        <rFont val="宋体"/>
        <family val="3"/>
        <charset val="134"/>
      </rPr>
      <t>本年还贷</t>
    </r>
  </si>
  <si>
    <r>
      <rPr>
        <b/>
        <sz val="9"/>
        <rFont val="宋体"/>
        <family val="3"/>
        <charset val="134"/>
      </rPr>
      <t>月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（年）末余额</t>
    </r>
  </si>
  <si>
    <t>上海银行浦东分行</t>
  </si>
  <si>
    <t>银行贷款</t>
  </si>
  <si>
    <r>
      <rPr>
        <b/>
        <sz val="10"/>
        <color theme="1"/>
        <rFont val="Arial"/>
        <family val="2"/>
      </rPr>
      <t>(……</t>
    </r>
    <r>
      <rPr>
        <b/>
        <sz val="10"/>
        <color theme="1"/>
        <rFont val="等线"/>
        <family val="3"/>
        <charset val="134"/>
      </rPr>
      <t>此行之前插行</t>
    </r>
    <r>
      <rPr>
        <b/>
        <sz val="10"/>
        <color theme="1"/>
        <rFont val="Arial"/>
        <family val="2"/>
      </rPr>
      <t>)</t>
    </r>
  </si>
  <si>
    <r>
      <rPr>
        <sz val="9"/>
        <color rgb="FFFF0000"/>
        <rFont val="等线"/>
        <family val="3"/>
        <charset val="134"/>
      </rPr>
      <t>表间校验：</t>
    </r>
  </si>
  <si>
    <r>
      <rPr>
        <b/>
        <sz val="9"/>
        <rFont val="Arial"/>
        <family val="2"/>
      </rPr>
      <t>1</t>
    </r>
    <r>
      <rPr>
        <b/>
        <sz val="9"/>
        <rFont val="宋体"/>
        <family val="3"/>
        <charset val="134"/>
      </rPr>
      <t>、</t>
    </r>
    <r>
      <rPr>
        <b/>
        <sz val="9"/>
        <rFont val="Arial"/>
        <family val="2"/>
      </rPr>
      <t>C</t>
    </r>
    <r>
      <rPr>
        <b/>
        <sz val="9"/>
        <rFont val="宋体"/>
        <family val="3"/>
        <charset val="134"/>
      </rPr>
      <t>列融资类型，请从这些项目选择：银行贷款、信托贷款、委托贷款、债券、定增、其他（请注明）。</t>
    </r>
  </si>
  <si>
    <t>税费统计表</t>
  </si>
  <si>
    <r>
      <rPr>
        <b/>
        <sz val="9"/>
        <rFont val="宋体"/>
        <family val="3"/>
        <charset val="134"/>
      </rPr>
      <t>年初累计金额</t>
    </r>
  </si>
  <si>
    <r>
      <rPr>
        <b/>
        <sz val="9"/>
        <rFont val="宋体"/>
        <family val="3"/>
        <charset val="134"/>
      </rPr>
      <t>本年金额</t>
    </r>
  </si>
  <si>
    <r>
      <rPr>
        <b/>
        <sz val="9"/>
        <rFont val="宋体"/>
        <family val="3"/>
        <charset val="134"/>
      </rPr>
      <t>期末累计金额</t>
    </r>
  </si>
  <si>
    <r>
      <rPr>
        <sz val="9"/>
        <rFont val="宋体"/>
        <family val="3"/>
        <charset val="134"/>
      </rPr>
      <t>回款额</t>
    </r>
  </si>
  <si>
    <r>
      <rPr>
        <sz val="9"/>
        <rFont val="宋体"/>
        <family val="3"/>
        <charset val="134"/>
      </rPr>
      <t>增值税</t>
    </r>
  </si>
  <si>
    <r>
      <rPr>
        <sz val="9"/>
        <rFont val="宋体"/>
        <family val="3"/>
        <charset val="134"/>
      </rPr>
      <t>其中：预交增值税</t>
    </r>
  </si>
  <si>
    <r>
      <rPr>
        <sz val="9"/>
        <rFont val="宋体"/>
        <family val="3"/>
        <charset val="134"/>
      </rPr>
      <t>进项税</t>
    </r>
  </si>
  <si>
    <r>
      <rPr>
        <sz val="9"/>
        <rFont val="宋体"/>
        <family val="3"/>
        <charset val="134"/>
      </rPr>
      <t>销项税</t>
    </r>
  </si>
  <si>
    <r>
      <rPr>
        <sz val="9"/>
        <rFont val="宋体"/>
        <family val="3"/>
        <charset val="134"/>
      </rPr>
      <t>已交税金</t>
    </r>
  </si>
  <si>
    <r>
      <rPr>
        <sz val="9"/>
        <rFont val="宋体"/>
        <family val="3"/>
        <charset val="134"/>
      </rPr>
      <t>城市维护建设税</t>
    </r>
  </si>
  <si>
    <t>教育费附加</t>
  </si>
  <si>
    <t>地方教育费附加</t>
  </si>
  <si>
    <t>土地增值税</t>
  </si>
  <si>
    <t>企业所得税</t>
  </si>
  <si>
    <r>
      <rPr>
        <sz val="9"/>
        <rFont val="宋体"/>
        <family val="3"/>
        <charset val="134"/>
      </rPr>
      <t>房产税</t>
    </r>
  </si>
  <si>
    <r>
      <rPr>
        <sz val="9"/>
        <rFont val="宋体"/>
        <family val="3"/>
        <charset val="134"/>
      </rPr>
      <t>城镇土地使用税</t>
    </r>
  </si>
  <si>
    <r>
      <rPr>
        <sz val="9"/>
        <rFont val="宋体"/>
        <family val="3"/>
        <charset val="134"/>
      </rPr>
      <t>印花税</t>
    </r>
  </si>
  <si>
    <r>
      <rPr>
        <sz val="9"/>
        <rFont val="宋体"/>
        <family val="3"/>
        <charset val="134"/>
      </rPr>
      <t>契税</t>
    </r>
  </si>
  <si>
    <r>
      <rPr>
        <sz val="9"/>
        <rFont val="宋体"/>
        <family val="3"/>
        <charset val="134"/>
      </rPr>
      <t>其他税项</t>
    </r>
  </si>
  <si>
    <r>
      <rPr>
        <b/>
        <sz val="9"/>
        <rFont val="宋体"/>
        <family val="3"/>
        <charset val="134"/>
      </rPr>
      <t>税项合计</t>
    </r>
  </si>
  <si>
    <r>
      <rPr>
        <b/>
        <sz val="9"/>
        <rFont val="宋体"/>
        <family val="3"/>
        <charset val="134"/>
      </rPr>
      <t>综合税负率</t>
    </r>
  </si>
  <si>
    <t>河道费</t>
  </si>
  <si>
    <r>
      <rPr>
        <sz val="9"/>
        <rFont val="宋体"/>
        <family val="3"/>
        <charset val="134"/>
      </rPr>
      <t>堤防费</t>
    </r>
  </si>
  <si>
    <r>
      <rPr>
        <sz val="9"/>
        <rFont val="宋体"/>
        <family val="3"/>
        <charset val="134"/>
      </rPr>
      <t>其他</t>
    </r>
  </si>
  <si>
    <r>
      <rPr>
        <b/>
        <sz val="9"/>
        <rFont val="宋体"/>
        <family val="3"/>
        <charset val="134"/>
      </rPr>
      <t>地方性收费合计</t>
    </r>
  </si>
  <si>
    <r>
      <rPr>
        <b/>
        <sz val="9"/>
        <rFont val="宋体"/>
        <family val="3"/>
        <charset val="134"/>
      </rPr>
      <t>税费合计</t>
    </r>
  </si>
  <si>
    <r>
      <rPr>
        <b/>
        <sz val="9"/>
        <rFont val="宋体"/>
        <family val="3"/>
        <charset val="134"/>
      </rPr>
      <t>综合税费率</t>
    </r>
  </si>
  <si>
    <r>
      <rPr>
        <sz val="9"/>
        <rFont val="宋体"/>
        <family val="3"/>
        <charset val="134"/>
      </rPr>
      <t>个人所得税</t>
    </r>
  </si>
  <si>
    <r>
      <rPr>
        <b/>
        <sz val="9"/>
        <rFont val="宋体"/>
        <family val="3"/>
        <charset val="134"/>
      </rPr>
      <t>税费总计</t>
    </r>
  </si>
  <si>
    <r>
      <rPr>
        <b/>
        <sz val="9"/>
        <rFont val="宋体"/>
        <family val="3"/>
        <charset val="134"/>
      </rPr>
      <t>备注：此税表为实际纳税统计</t>
    </r>
    <r>
      <rPr>
        <b/>
        <sz val="9"/>
        <rFont val="Arial"/>
        <family val="2"/>
      </rPr>
      <t>,</t>
    </r>
    <r>
      <rPr>
        <b/>
        <sz val="9"/>
        <rFont val="宋体"/>
        <family val="3"/>
        <charset val="134"/>
      </rPr>
      <t>当年按月列示。</t>
    </r>
  </si>
  <si>
    <t>关联方交易表</t>
  </si>
  <si>
    <r>
      <rPr>
        <sz val="9"/>
        <rFont val="Times New Roman"/>
        <family val="1"/>
      </rPr>
      <t>序号</t>
    </r>
  </si>
  <si>
    <r>
      <rPr>
        <sz val="9"/>
        <rFont val="宋体"/>
        <family val="3"/>
        <charset val="134"/>
      </rPr>
      <t>层级</t>
    </r>
    <r>
      <rPr>
        <sz val="9"/>
        <color rgb="FFFF0000"/>
        <rFont val="宋体"/>
        <family val="3"/>
        <charset val="134"/>
      </rPr>
      <t>（下拉菜单选择）</t>
    </r>
  </si>
  <si>
    <r>
      <rPr>
        <sz val="9"/>
        <rFont val="宋体"/>
        <family val="3"/>
        <charset val="134"/>
      </rPr>
      <t>对方单位全称</t>
    </r>
  </si>
  <si>
    <r>
      <rPr>
        <sz val="9"/>
        <rFont val="宋体"/>
        <family val="3"/>
        <charset val="134"/>
      </rPr>
      <t>业务内容</t>
    </r>
  </si>
  <si>
    <r>
      <rPr>
        <sz val="9"/>
        <rFont val="宋体"/>
        <family val="3"/>
        <charset val="134"/>
      </rPr>
      <t>科目名称</t>
    </r>
    <r>
      <rPr>
        <sz val="9"/>
        <color rgb="FFFF0000"/>
        <rFont val="宋体"/>
        <family val="3"/>
        <charset val="134"/>
      </rPr>
      <t>（下拉菜单选择）</t>
    </r>
  </si>
  <si>
    <r>
      <rPr>
        <sz val="9"/>
        <rFont val="宋体"/>
        <family val="3"/>
        <charset val="134"/>
      </rPr>
      <t>二级明细科目</t>
    </r>
  </si>
  <si>
    <r>
      <rPr>
        <sz val="9"/>
        <rFont val="宋体"/>
        <family val="3"/>
        <charset val="134"/>
      </rPr>
      <t>当月金额</t>
    </r>
  </si>
  <si>
    <r>
      <rPr>
        <sz val="9"/>
        <rFont val="宋体"/>
        <family val="3"/>
        <charset val="134"/>
      </rPr>
      <t>累计金额</t>
    </r>
  </si>
  <si>
    <r>
      <rPr>
        <sz val="9"/>
        <rFont val="宋体"/>
        <family val="3"/>
        <charset val="134"/>
      </rPr>
      <t>备注</t>
    </r>
  </si>
  <si>
    <r>
      <rPr>
        <b/>
        <sz val="9"/>
        <rFont val="宋体"/>
        <family val="3"/>
        <charset val="134"/>
      </rPr>
      <t>合计</t>
    </r>
  </si>
  <si>
    <r>
      <rPr>
        <b/>
        <sz val="10"/>
        <color theme="1"/>
        <rFont val="Arial"/>
        <family val="2"/>
      </rPr>
      <t>(……</t>
    </r>
    <r>
      <rPr>
        <b/>
        <sz val="9"/>
        <color theme="1"/>
        <rFont val="等线"/>
        <family val="3"/>
        <charset val="134"/>
      </rPr>
      <t>此行之前插行</t>
    </r>
    <r>
      <rPr>
        <b/>
        <sz val="9"/>
        <color theme="1"/>
        <rFont val="Arial"/>
        <family val="2"/>
      </rPr>
      <t>)</t>
    </r>
  </si>
  <si>
    <t>关联方往来款表</t>
  </si>
  <si>
    <r>
      <rPr>
        <sz val="9"/>
        <rFont val="宋体"/>
        <family val="3"/>
        <charset val="134"/>
      </rPr>
      <t>序号</t>
    </r>
  </si>
  <si>
    <r>
      <rPr>
        <sz val="9"/>
        <color theme="1"/>
        <rFont val="等线"/>
        <family val="3"/>
        <charset val="134"/>
      </rPr>
      <t>债权</t>
    </r>
  </si>
  <si>
    <r>
      <rPr>
        <sz val="9"/>
        <color theme="1"/>
        <rFont val="等线"/>
        <family val="3"/>
        <charset val="134"/>
      </rPr>
      <t>债务</t>
    </r>
  </si>
  <si>
    <t>应收账款</t>
  </si>
  <si>
    <t>应收票据</t>
  </si>
  <si>
    <t>其他应收款</t>
  </si>
  <si>
    <t>长期应收款</t>
  </si>
  <si>
    <t>预付账款</t>
  </si>
  <si>
    <t>持有至到期投资</t>
  </si>
  <si>
    <t>发放贷款及垫款</t>
  </si>
  <si>
    <t>应收保理</t>
  </si>
  <si>
    <t>应付账款</t>
  </si>
  <si>
    <t>预收账款</t>
  </si>
  <si>
    <t>应付票据</t>
  </si>
  <si>
    <t>其他应付款</t>
  </si>
  <si>
    <t>应付债券</t>
  </si>
  <si>
    <t xml:space="preserve"> 长期借款（财务公司） </t>
  </si>
  <si>
    <t>吸收存款</t>
  </si>
  <si>
    <t>美瑞管理范围内</t>
  </si>
  <si>
    <t>北京美瑞泰富置业有限公司</t>
  </si>
  <si>
    <t>关联方现金流表</t>
  </si>
  <si>
    <r>
      <rPr>
        <sz val="9"/>
        <rFont val="Times New Roman"/>
        <family val="1"/>
      </rPr>
      <t>销售商品收到</t>
    </r>
  </si>
  <si>
    <r>
      <rPr>
        <sz val="9"/>
        <rFont val="Times New Roman"/>
        <family val="1"/>
      </rPr>
      <t>收到其他与经营</t>
    </r>
  </si>
  <si>
    <r>
      <rPr>
        <sz val="9"/>
        <rFont val="Times New Roman"/>
        <family val="1"/>
      </rPr>
      <t>吸收投资收到</t>
    </r>
  </si>
  <si>
    <r>
      <rPr>
        <sz val="9"/>
        <rFont val="Times New Roman"/>
        <family val="1"/>
      </rPr>
      <t>收到其他与筹资</t>
    </r>
  </si>
  <si>
    <r>
      <rPr>
        <sz val="9"/>
        <rFont val="Times New Roman"/>
        <family val="1"/>
      </rPr>
      <t>收回投资收到的现金</t>
    </r>
  </si>
  <si>
    <r>
      <rPr>
        <sz val="9"/>
        <rFont val="Times New Roman"/>
        <family val="1"/>
      </rPr>
      <t>收到其他与投资</t>
    </r>
  </si>
  <si>
    <r>
      <rPr>
        <sz val="9"/>
        <rFont val="Times New Roman"/>
        <family val="1"/>
      </rPr>
      <t>取得投资收益</t>
    </r>
  </si>
  <si>
    <r>
      <rPr>
        <sz val="9"/>
        <rFont val="Times New Roman"/>
        <family val="1"/>
      </rPr>
      <t>处置子公司</t>
    </r>
  </si>
  <si>
    <r>
      <rPr>
        <sz val="9"/>
        <rFont val="Times New Roman"/>
        <family val="1"/>
      </rPr>
      <t>　　取得借款收到的现金</t>
    </r>
  </si>
  <si>
    <r>
      <rPr>
        <sz val="9"/>
        <rFont val="Times New Roman"/>
        <family val="1"/>
      </rPr>
      <t>收回融资租赁款收到的现金</t>
    </r>
  </si>
  <si>
    <r>
      <rPr>
        <sz val="9"/>
        <rFont val="Times New Roman"/>
        <family val="1"/>
      </rPr>
      <t>　　客户存款和同业存放款项净增加额</t>
    </r>
  </si>
  <si>
    <r>
      <rPr>
        <sz val="9"/>
        <rFont val="Times New Roman"/>
        <family val="1"/>
      </rPr>
      <t>收取利息、手续费及佣金的现金</t>
    </r>
  </si>
  <si>
    <r>
      <rPr>
        <sz val="9"/>
        <rFont val="Times New Roman"/>
        <family val="1"/>
      </rPr>
      <t>购买商品支付</t>
    </r>
  </si>
  <si>
    <r>
      <rPr>
        <sz val="9"/>
        <rFont val="Times New Roman"/>
        <family val="1"/>
      </rPr>
      <t>支付其他与经营</t>
    </r>
  </si>
  <si>
    <r>
      <rPr>
        <sz val="9"/>
        <rFont val="Times New Roman"/>
        <family val="1"/>
      </rPr>
      <t>支付的各项税费</t>
    </r>
  </si>
  <si>
    <r>
      <rPr>
        <sz val="9"/>
        <rFont val="Times New Roman"/>
        <family val="1"/>
      </rPr>
      <t>支付给职工</t>
    </r>
  </si>
  <si>
    <r>
      <rPr>
        <sz val="9"/>
        <rFont val="Times New Roman"/>
        <family val="1"/>
      </rPr>
      <t>投资支付</t>
    </r>
  </si>
  <si>
    <r>
      <rPr>
        <sz val="9"/>
        <rFont val="Times New Roman"/>
        <family val="1"/>
      </rPr>
      <t>分配股利、利润或偿付利息支付的现金</t>
    </r>
  </si>
  <si>
    <r>
      <rPr>
        <sz val="9"/>
        <rFont val="Times New Roman"/>
        <family val="1"/>
      </rPr>
      <t>购建固定资产</t>
    </r>
  </si>
  <si>
    <r>
      <rPr>
        <sz val="9"/>
        <rFont val="Times New Roman"/>
        <family val="1"/>
      </rPr>
      <t>支付的其他与投资</t>
    </r>
  </si>
  <si>
    <r>
      <rPr>
        <sz val="9"/>
        <rFont val="Times New Roman"/>
        <family val="1"/>
      </rPr>
      <t>支付的其他与筹资</t>
    </r>
  </si>
  <si>
    <t>融资租赁款及垫款支付的现金</t>
  </si>
  <si>
    <r>
      <rPr>
        <sz val="9"/>
        <rFont val="宋体"/>
        <family val="3"/>
        <charset val="134"/>
      </rPr>
      <t>偿还债务支付的现金</t>
    </r>
  </si>
  <si>
    <r>
      <rPr>
        <sz val="9"/>
        <rFont val="宋体"/>
        <family val="3"/>
        <charset val="134"/>
      </rPr>
      <t>支付利息、手续费及佣金的现金</t>
    </r>
  </si>
  <si>
    <t>客户贷款及垫款净增加额</t>
  </si>
  <si>
    <r>
      <rPr>
        <b/>
        <sz val="9"/>
        <color theme="1"/>
        <rFont val="等线"/>
        <family val="3"/>
        <charset val="134"/>
      </rPr>
      <t>合计</t>
    </r>
  </si>
  <si>
    <t>其他工作事项</t>
  </si>
  <si>
    <t>说明：此表填写公司重点推进的经营、财务工作，面临的难题，解决难题的方案，需要总部协调解决的工作。</t>
  </si>
  <si>
    <r>
      <rPr>
        <b/>
        <sz val="10"/>
        <color theme="1"/>
        <rFont val="等线"/>
        <family val="3"/>
        <charset val="134"/>
      </rPr>
      <t>序号</t>
    </r>
  </si>
  <si>
    <t>事项名称</t>
  </si>
  <si>
    <t>内容描述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</si>
</sst>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_ * #,##0_ ;_ * \-#,##0_ ;_ * &quot;-&quot;??_ ;_ @_ "/>
    <numFmt numFmtId="177" formatCode="_(* #,##0_);_(* \(#,##0\);_(* &quot;-&quot;??_);_(@_)"/>
    <numFmt numFmtId="178" formatCode="_(* #,##0.00_);_(* \(#,##0.00\);_(* &quot;-&quot;??_);_(@_)"/>
    <numFmt numFmtId="179" formatCode="0.00_);[Red]\(0.00\)"/>
    <numFmt numFmtId="180" formatCode="yyyy/m/d;@"/>
    <numFmt numFmtId="181" formatCode="0.00_ "/>
    <numFmt numFmtId="182" formatCode="0_);[Red]\(0\)"/>
    <numFmt numFmtId="183" formatCode="#,##0.00;\-#,##0.00;"/>
    <numFmt numFmtId="184" formatCode="0.0%"/>
    <numFmt numFmtId="185" formatCode="#,##0_ "/>
    <numFmt numFmtId="186" formatCode="#,##0.00_ "/>
  </numFmts>
  <fonts count="84">
    <font>
      <sz val="11"/>
      <color theme="1"/>
      <name val="等线"/>
      <charset val="134"/>
      <scheme val="minor"/>
    </font>
    <font>
      <b/>
      <sz val="14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等线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9"/>
      <name val="Arial"/>
      <family val="2"/>
    </font>
    <font>
      <b/>
      <sz val="9"/>
      <color theme="1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Times New Roman"/>
      <family val="1"/>
    </font>
    <font>
      <sz val="9"/>
      <color theme="1"/>
      <name val="等线"/>
      <family val="3"/>
      <charset val="134"/>
    </font>
    <font>
      <b/>
      <sz val="9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4"/>
      <name val="Arial"/>
      <family val="2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Arial"/>
      <family val="2"/>
    </font>
    <font>
      <sz val="10"/>
      <color theme="1"/>
      <name val="宋体"/>
      <family val="3"/>
      <charset val="134"/>
    </font>
    <font>
      <b/>
      <sz val="9"/>
      <color rgb="FFFF0000"/>
      <name val="等线"/>
      <family val="3"/>
      <charset val="134"/>
      <scheme val="minor"/>
    </font>
    <font>
      <b/>
      <sz val="9"/>
      <color rgb="FFFF0000"/>
      <name val="Arial"/>
      <family val="2"/>
    </font>
    <font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</font>
    <font>
      <sz val="9"/>
      <color rgb="FFFF0000"/>
      <name val="等线"/>
      <family val="3"/>
      <charset val="134"/>
      <scheme val="minor"/>
    </font>
    <font>
      <sz val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sz val="9"/>
      <color indexed="10"/>
      <name val="Arial Narrow"/>
      <family val="2"/>
    </font>
    <font>
      <b/>
      <sz val="11"/>
      <color rgb="FFFF0000"/>
      <name val="宋体"/>
      <family val="3"/>
      <charset val="134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b/>
      <sz val="9"/>
      <color indexed="8"/>
      <name val="Arial"/>
      <family val="2"/>
    </font>
    <font>
      <b/>
      <sz val="9"/>
      <color rgb="FFFF0000"/>
      <name val="宋体"/>
      <family val="3"/>
      <charset val="134"/>
    </font>
    <font>
      <sz val="9"/>
      <name val="SimSun"/>
      <charset val="134"/>
    </font>
    <font>
      <b/>
      <sz val="16"/>
      <name val="宋体"/>
      <family val="3"/>
      <charset val="134"/>
    </font>
    <font>
      <b/>
      <sz val="9"/>
      <color indexed="8"/>
      <name val="宋体"/>
      <family val="3"/>
      <charset val="134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b/>
      <sz val="11"/>
      <name val="等线"/>
      <family val="3"/>
      <charset val="134"/>
    </font>
    <font>
      <u/>
      <sz val="11"/>
      <color theme="10"/>
      <name val="等线"/>
      <family val="3"/>
      <charset val="134"/>
      <scheme val="minor"/>
    </font>
    <font>
      <sz val="12"/>
      <name val="Arial"/>
      <family val="2"/>
    </font>
    <font>
      <u/>
      <sz val="6.7"/>
      <color theme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b/>
      <sz val="9"/>
      <color theme="1"/>
      <name val="等线"/>
      <family val="3"/>
      <charset val="134"/>
    </font>
    <font>
      <sz val="10"/>
      <color rgb="FFFF0000"/>
      <name val="宋体"/>
      <family val="3"/>
      <charset val="134"/>
    </font>
    <font>
      <sz val="9"/>
      <name val="等线"/>
      <family val="3"/>
      <charset val="134"/>
    </font>
    <font>
      <b/>
      <sz val="11"/>
      <name val="宋体"/>
      <family val="3"/>
      <charset val="134"/>
    </font>
    <font>
      <b/>
      <sz val="14"/>
      <color theme="1"/>
      <name val="等线"/>
      <family val="3"/>
      <charset val="134"/>
    </font>
    <font>
      <b/>
      <sz val="14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9">
    <xf numFmtId="0" fontId="0" fillId="0" borderId="0"/>
    <xf numFmtId="43" fontId="82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35" fillId="0" borderId="0"/>
    <xf numFmtId="9" fontId="82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68" fillId="0" borderId="0"/>
    <xf numFmtId="0" fontId="68" fillId="0" borderId="0"/>
    <xf numFmtId="0" fontId="67" fillId="0" borderId="0">
      <alignment vertical="center"/>
    </xf>
    <xf numFmtId="0" fontId="35" fillId="0" borderId="0"/>
    <xf numFmtId="0" fontId="65" fillId="0" borderId="0"/>
    <xf numFmtId="0" fontId="10" fillId="0" borderId="0"/>
    <xf numFmtId="0" fontId="10" fillId="0" borderId="0" applyFont="0" applyFill="0" applyBorder="0" applyAlignment="0" applyProtection="0"/>
    <xf numFmtId="0" fontId="35" fillId="0" borderId="0"/>
    <xf numFmtId="0" fontId="66" fillId="0" borderId="0" applyNumberFormat="0" applyFill="0" applyBorder="0" applyAlignment="0" applyProtection="0">
      <alignment vertical="top"/>
      <protection locked="0"/>
    </xf>
    <xf numFmtId="178" fontId="10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82" fillId="0" borderId="0" applyFont="0" applyFill="0" applyBorder="0" applyAlignment="0" applyProtection="0">
      <alignment vertical="center"/>
    </xf>
  </cellStyleXfs>
  <cellXfs count="425">
    <xf numFmtId="0" fontId="0" fillId="0" borderId="0" xfId="0"/>
    <xf numFmtId="0" fontId="1" fillId="0" borderId="0" xfId="0" applyFont="1" applyFill="1" applyProtection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/>
    <xf numFmtId="0" fontId="0" fillId="0" borderId="0" xfId="0" applyAlignment="1">
      <alignment wrapText="1"/>
    </xf>
    <xf numFmtId="0" fontId="10" fillId="2" borderId="1" xfId="11" applyFont="1" applyFill="1" applyBorder="1" applyAlignment="1">
      <alignment horizontal="center" vertical="center" wrapText="1"/>
    </xf>
    <xf numFmtId="43" fontId="10" fillId="2" borderId="1" xfId="18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43" fontId="11" fillId="2" borderId="1" xfId="0" applyNumberFormat="1" applyFont="1" applyFill="1" applyBorder="1" applyAlignment="1">
      <alignment shrinkToFit="1"/>
    </xf>
    <xf numFmtId="0" fontId="7" fillId="2" borderId="1" xfId="0" applyFont="1" applyFill="1" applyBorder="1" applyAlignment="1">
      <alignment horizontal="center"/>
    </xf>
    <xf numFmtId="0" fontId="12" fillId="3" borderId="1" xfId="11" applyFont="1" applyFill="1" applyBorder="1" applyAlignment="1">
      <alignment vertical="center"/>
    </xf>
    <xf numFmtId="0" fontId="13" fillId="0" borderId="1" xfId="11" applyFont="1" applyFill="1" applyBorder="1" applyAlignment="1">
      <alignment vertical="center" wrapText="1"/>
    </xf>
    <xf numFmtId="43" fontId="10" fillId="0" borderId="1" xfId="18" applyFont="1" applyFill="1" applyBorder="1" applyAlignment="1">
      <alignment vertical="center" shrinkToFit="1"/>
    </xf>
    <xf numFmtId="43" fontId="10" fillId="0" borderId="1" xfId="18" applyNumberFormat="1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11" applyFont="1" applyFill="1" applyBorder="1" applyAlignment="1">
      <alignment vertical="center" wrapText="1"/>
    </xf>
    <xf numFmtId="49" fontId="10" fillId="0" borderId="1" xfId="11" applyNumberFormat="1" applyFont="1" applyFill="1" applyBorder="1" applyAlignment="1">
      <alignment horizontal="left" vertical="center" wrapText="1"/>
    </xf>
    <xf numFmtId="43" fontId="7" fillId="0" borderId="1" xfId="1" applyFont="1" applyFill="1" applyBorder="1" applyAlignment="1" applyProtection="1">
      <alignment vertical="center" shrinkToFit="1"/>
      <protection locked="0"/>
    </xf>
    <xf numFmtId="0" fontId="4" fillId="4" borderId="1" xfId="0" applyFont="1" applyFill="1" applyBorder="1" applyAlignment="1">
      <alignment horizontal="left"/>
    </xf>
    <xf numFmtId="177" fontId="9" fillId="4" borderId="2" xfId="6" applyNumberFormat="1" applyFont="1" applyFill="1" applyBorder="1"/>
    <xf numFmtId="49" fontId="14" fillId="4" borderId="1" xfId="11" applyNumberFormat="1" applyFont="1" applyFill="1" applyBorder="1" applyAlignment="1">
      <alignment horizontal="left" vertical="center" wrapText="1"/>
    </xf>
    <xf numFmtId="43" fontId="14" fillId="4" borderId="1" xfId="18" applyFont="1" applyFill="1" applyBorder="1" applyAlignment="1">
      <alignment vertical="center" shrinkToFit="1"/>
    </xf>
    <xf numFmtId="43" fontId="4" fillId="4" borderId="1" xfId="1" applyFont="1" applyFill="1" applyBorder="1" applyAlignment="1" applyProtection="1">
      <alignment vertical="center" shrinkToFit="1"/>
      <protection locked="0"/>
    </xf>
    <xf numFmtId="43" fontId="7" fillId="0" borderId="1" xfId="1" applyFont="1" applyBorder="1" applyAlignment="1" applyProtection="1">
      <alignment vertical="center" shrinkToFit="1"/>
      <protection locked="0"/>
    </xf>
    <xf numFmtId="43" fontId="10" fillId="2" borderId="1" xfId="18" applyNumberFormat="1" applyFont="1" applyFill="1" applyBorder="1" applyAlignment="1">
      <alignment horizontal="center" vertical="center" wrapText="1"/>
    </xf>
    <xf numFmtId="43" fontId="10" fillId="2" borderId="1" xfId="18" applyFont="1" applyFill="1" applyBorder="1" applyAlignment="1" applyProtection="1">
      <alignment horizontal="center" vertical="center" wrapText="1"/>
      <protection locked="0"/>
    </xf>
    <xf numFmtId="43" fontId="10" fillId="2" borderId="1" xfId="18" applyFont="1" applyFill="1" applyBorder="1" applyAlignment="1">
      <alignment vertical="center" wrapText="1"/>
    </xf>
    <xf numFmtId="43" fontId="7" fillId="0" borderId="1" xfId="0" applyNumberFormat="1" applyFont="1" applyFill="1" applyBorder="1" applyAlignment="1">
      <alignment vertical="center" shrinkToFit="1"/>
    </xf>
    <xf numFmtId="43" fontId="15" fillId="2" borderId="1" xfId="18" applyFont="1" applyFill="1" applyBorder="1" applyAlignment="1">
      <alignment horizontal="center" vertical="center" wrapText="1"/>
    </xf>
    <xf numFmtId="43" fontId="9" fillId="2" borderId="1" xfId="0" applyNumberFormat="1" applyFont="1" applyFill="1" applyBorder="1"/>
    <xf numFmtId="43" fontId="15" fillId="0" borderId="1" xfId="18" applyFont="1" applyFill="1" applyBorder="1" applyAlignment="1">
      <alignment vertical="center"/>
    </xf>
    <xf numFmtId="0" fontId="4" fillId="0" borderId="0" xfId="0" applyFont="1"/>
    <xf numFmtId="0" fontId="0" fillId="3" borderId="0" xfId="0" applyFill="1"/>
    <xf numFmtId="43" fontId="16" fillId="2" borderId="1" xfId="18" applyFont="1" applyFill="1" applyBorder="1" applyAlignment="1">
      <alignment horizontal="center" vertical="center" wrapText="1"/>
    </xf>
    <xf numFmtId="0" fontId="17" fillId="2" borderId="1" xfId="11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left" vertical="center"/>
    </xf>
    <xf numFmtId="0" fontId="10" fillId="0" borderId="1" xfId="11" applyFont="1" applyFill="1" applyBorder="1" applyAlignment="1">
      <alignment vertical="center"/>
    </xf>
    <xf numFmtId="43" fontId="7" fillId="0" borderId="1" xfId="1" applyFont="1" applyFill="1" applyBorder="1" applyAlignment="1">
      <alignment vertical="center" shrinkToFit="1"/>
    </xf>
    <xf numFmtId="43" fontId="10" fillId="3" borderId="1" xfId="1" applyFont="1" applyFill="1" applyBorder="1" applyAlignment="1">
      <alignment vertical="center" shrinkToFit="1"/>
    </xf>
    <xf numFmtId="43" fontId="11" fillId="2" borderId="1" xfId="0" applyNumberFormat="1" applyFont="1" applyFill="1" applyBorder="1"/>
    <xf numFmtId="43" fontId="10" fillId="0" borderId="1" xfId="1" applyFont="1" applyFill="1" applyBorder="1" applyAlignment="1">
      <alignment vertical="center"/>
    </xf>
    <xf numFmtId="43" fontId="10" fillId="3" borderId="1" xfId="1" applyFont="1" applyFill="1" applyBorder="1" applyAlignment="1">
      <alignment vertical="center"/>
    </xf>
    <xf numFmtId="0" fontId="18" fillId="0" borderId="0" xfId="0" applyFont="1"/>
    <xf numFmtId="43" fontId="10" fillId="2" borderId="1" xfId="1" applyFont="1" applyFill="1" applyBorder="1" applyAlignment="1">
      <alignment horizontal="center" vertical="center" wrapText="1"/>
    </xf>
    <xf numFmtId="0" fontId="17" fillId="2" borderId="1" xfId="11" applyFont="1" applyFill="1" applyBorder="1" applyAlignment="1">
      <alignment vertical="center" wrapText="1"/>
    </xf>
    <xf numFmtId="0" fontId="17" fillId="2" borderId="1" xfId="11" applyFont="1" applyFill="1" applyBorder="1" applyAlignment="1">
      <alignment horizontal="center" vertical="center" wrapText="1"/>
    </xf>
    <xf numFmtId="43" fontId="17" fillId="2" borderId="1" xfId="1" applyFont="1" applyFill="1" applyBorder="1" applyAlignment="1">
      <alignment horizontal="center" vertical="center" wrapText="1"/>
    </xf>
    <xf numFmtId="43" fontId="17" fillId="2" borderId="1" xfId="1" applyFont="1" applyFill="1" applyBorder="1" applyAlignment="1">
      <alignment horizontal="right" vertical="center" wrapText="1"/>
    </xf>
    <xf numFmtId="0" fontId="10" fillId="3" borderId="1" xfId="11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3" fontId="10" fillId="0" borderId="1" xfId="1" applyFont="1" applyFill="1" applyBorder="1">
      <alignment vertical="center"/>
    </xf>
    <xf numFmtId="0" fontId="0" fillId="0" borderId="0" xfId="0" applyProtection="1"/>
    <xf numFmtId="0" fontId="2" fillId="0" borderId="0" xfId="0" applyFont="1" applyProtection="1"/>
    <xf numFmtId="0" fontId="19" fillId="0" borderId="0" xfId="0" applyFont="1" applyFill="1" applyProtection="1"/>
    <xf numFmtId="0" fontId="14" fillId="0" borderId="0" xfId="0" applyFont="1" applyAlignment="1" applyProtection="1">
      <alignment vertical="center"/>
    </xf>
    <xf numFmtId="0" fontId="20" fillId="0" borderId="0" xfId="0" applyFont="1" applyAlignment="1" applyProtection="1">
      <alignment vertical="center"/>
    </xf>
    <xf numFmtId="0" fontId="17" fillId="2" borderId="1" xfId="0" applyFont="1" applyFill="1" applyBorder="1" applyAlignment="1" applyProtection="1">
      <alignment horizontal="center" vertical="center"/>
    </xf>
    <xf numFmtId="0" fontId="21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Protection="1"/>
    <xf numFmtId="43" fontId="10" fillId="0" borderId="1" xfId="1" applyFont="1" applyFill="1" applyBorder="1" applyAlignment="1" applyProtection="1">
      <alignment vertical="center" shrinkToFit="1"/>
      <protection locked="0"/>
    </xf>
    <xf numFmtId="43" fontId="10" fillId="0" borderId="1" xfId="1" applyFont="1" applyFill="1" applyBorder="1" applyAlignment="1" applyProtection="1">
      <alignment vertical="center" shrinkToFit="1"/>
    </xf>
    <xf numFmtId="43" fontId="10" fillId="2" borderId="1" xfId="1" applyFont="1" applyFill="1" applyBorder="1" applyAlignment="1" applyProtection="1">
      <alignment vertical="center" shrinkToFit="1"/>
    </xf>
    <xf numFmtId="0" fontId="10" fillId="2" borderId="1" xfId="0" applyFont="1" applyFill="1" applyBorder="1" applyAlignment="1" applyProtection="1">
      <alignment horizontal="right"/>
    </xf>
    <xf numFmtId="0" fontId="13" fillId="2" borderId="1" xfId="0" applyFont="1" applyFill="1" applyBorder="1" applyProtection="1"/>
    <xf numFmtId="0" fontId="17" fillId="2" borderId="1" xfId="0" applyFont="1" applyFill="1" applyBorder="1" applyProtection="1"/>
    <xf numFmtId="43" fontId="17" fillId="2" borderId="1" xfId="1" applyFont="1" applyFill="1" applyBorder="1" applyAlignment="1" applyProtection="1">
      <alignment vertical="center" shrinkToFit="1"/>
    </xf>
    <xf numFmtId="184" fontId="17" fillId="2" borderId="1" xfId="4" applyNumberFormat="1" applyFont="1" applyFill="1" applyBorder="1" applyAlignment="1" applyProtection="1">
      <alignment vertical="center" shrinkToFit="1"/>
    </xf>
    <xf numFmtId="0" fontId="17" fillId="4" borderId="0" xfId="0" applyFont="1" applyFill="1" applyProtection="1"/>
    <xf numFmtId="10" fontId="10" fillId="4" borderId="0" xfId="4" applyNumberFormat="1" applyFont="1" applyFill="1" applyProtection="1">
      <alignment vertical="center"/>
    </xf>
    <xf numFmtId="49" fontId="22" fillId="0" borderId="0" xfId="0" applyNumberFormat="1" applyFont="1" applyBorder="1" applyAlignment="1" applyProtection="1">
      <alignment horizontal="left" vertical="center"/>
    </xf>
    <xf numFmtId="0" fontId="23" fillId="2" borderId="1" xfId="0" applyFont="1" applyFill="1" applyBorder="1" applyAlignment="1" applyProtection="1">
      <alignment horizontal="left" vertical="center" wrapText="1"/>
    </xf>
    <xf numFmtId="43" fontId="24" fillId="0" borderId="1" xfId="0" applyNumberFormat="1" applyFont="1" applyBorder="1" applyProtection="1"/>
    <xf numFmtId="0" fontId="19" fillId="0" borderId="0" xfId="0" applyFont="1" applyFill="1" applyAlignment="1" applyProtection="1">
      <alignment vertical="center"/>
    </xf>
    <xf numFmtId="0" fontId="17" fillId="2" borderId="1" xfId="0" applyFont="1" applyFill="1" applyBorder="1" applyAlignment="1" applyProtection="1">
      <alignment vertical="center"/>
    </xf>
    <xf numFmtId="0" fontId="25" fillId="2" borderId="7" xfId="0" applyFont="1" applyFill="1" applyBorder="1" applyAlignment="1" applyProtection="1">
      <alignment horizontal="center" vertical="center"/>
    </xf>
    <xf numFmtId="0" fontId="0" fillId="0" borderId="0" xfId="0" applyBorder="1" applyProtection="1"/>
    <xf numFmtId="43" fontId="22" fillId="0" borderId="0" xfId="0" applyNumberFormat="1" applyFont="1" applyProtection="1"/>
    <xf numFmtId="0" fontId="10" fillId="4" borderId="0" xfId="0" applyFont="1" applyFill="1" applyProtection="1"/>
    <xf numFmtId="0" fontId="14" fillId="0" borderId="0" xfId="0" applyFont="1" applyFill="1" applyProtection="1"/>
    <xf numFmtId="0" fontId="17" fillId="0" borderId="0" xfId="10" applyFont="1" applyAlignment="1">
      <alignment vertical="center" wrapText="1"/>
    </xf>
    <xf numFmtId="0" fontId="26" fillId="0" borderId="0" xfId="0" applyFont="1"/>
    <xf numFmtId="0" fontId="19" fillId="0" borderId="0" xfId="0" applyFont="1" applyFill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10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17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21" fillId="2" borderId="1" xfId="3" applyNumberFormat="1" applyFont="1" applyFill="1" applyBorder="1" applyAlignment="1" applyProtection="1">
      <alignment horizontal="center" vertical="center" wrapText="1"/>
      <protection locked="0"/>
    </xf>
    <xf numFmtId="180" fontId="17" fillId="2" borderId="1" xfId="10" applyNumberFormat="1" applyFont="1" applyFill="1" applyBorder="1" applyAlignment="1">
      <alignment horizontal="center" vertical="center" wrapText="1"/>
    </xf>
    <xf numFmtId="0" fontId="7" fillId="2" borderId="1" xfId="0" applyFont="1" applyFill="1" applyBorder="1"/>
    <xf numFmtId="43" fontId="7" fillId="2" borderId="1" xfId="1" applyFont="1" applyFill="1" applyBorder="1" applyAlignme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18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21" fillId="0" borderId="0" xfId="0" applyFont="1" applyFill="1" applyProtection="1">
      <protection locked="0"/>
    </xf>
    <xf numFmtId="0" fontId="17" fillId="0" borderId="0" xfId="0" applyFont="1" applyFill="1" applyProtection="1">
      <protection locked="0"/>
    </xf>
    <xf numFmtId="0" fontId="14" fillId="0" borderId="0" xfId="0" applyFont="1" applyFill="1" applyProtection="1">
      <protection locked="0"/>
    </xf>
    <xf numFmtId="10" fontId="17" fillId="2" borderId="1" xfId="5" applyNumberFormat="1" applyFont="1" applyFill="1" applyBorder="1" applyAlignment="1">
      <alignment horizontal="center" vertical="center" wrapText="1"/>
    </xf>
    <xf numFmtId="177" fontId="17" fillId="2" borderId="1" xfId="16" applyNumberFormat="1" applyFont="1" applyFill="1" applyBorder="1" applyAlignment="1">
      <alignment horizontal="center" vertical="center" wrapText="1"/>
    </xf>
    <xf numFmtId="177" fontId="17" fillId="2" borderId="1" xfId="16" applyNumberFormat="1" applyFont="1" applyFill="1" applyBorder="1" applyAlignment="1" applyProtection="1">
      <alignment horizontal="center" vertical="center" wrapText="1"/>
      <protection locked="0"/>
    </xf>
    <xf numFmtId="177" fontId="10" fillId="2" borderId="1" xfId="16" applyNumberFormat="1" applyFont="1" applyFill="1" applyBorder="1" applyAlignment="1">
      <alignment horizontal="center" vertical="center" wrapText="1"/>
    </xf>
    <xf numFmtId="177" fontId="21" fillId="2" borderId="1" xfId="16" applyNumberFormat="1" applyFont="1" applyFill="1" applyBorder="1" applyAlignment="1">
      <alignment horizontal="center" vertical="center" wrapText="1"/>
    </xf>
    <xf numFmtId="43" fontId="7" fillId="2" borderId="1" xfId="1" applyFont="1" applyFill="1" applyBorder="1" applyAlignment="1">
      <alignment shrinkToFit="1"/>
    </xf>
    <xf numFmtId="43" fontId="11" fillId="2" borderId="1" xfId="1" applyFont="1" applyFill="1" applyBorder="1" applyAlignment="1">
      <alignment shrinkToFit="1"/>
    </xf>
    <xf numFmtId="10" fontId="7" fillId="0" borderId="1" xfId="4" applyNumberFormat="1" applyFont="1" applyBorder="1" applyAlignment="1">
      <alignment horizontal="right" vertical="center"/>
    </xf>
    <xf numFmtId="43" fontId="7" fillId="0" borderId="1" xfId="1" applyFont="1" applyBorder="1" applyAlignment="1">
      <alignment shrinkToFit="1"/>
    </xf>
    <xf numFmtId="10" fontId="4" fillId="4" borderId="1" xfId="4" applyNumberFormat="1" applyFont="1" applyFill="1" applyBorder="1" applyAlignment="1">
      <alignment horizontal="right" vertical="center"/>
    </xf>
    <xf numFmtId="43" fontId="4" fillId="4" borderId="1" xfId="1" applyFont="1" applyFill="1" applyBorder="1" applyAlignment="1">
      <alignment shrinkToFit="1"/>
    </xf>
    <xf numFmtId="0" fontId="22" fillId="0" borderId="0" xfId="0" applyFont="1" applyBorder="1"/>
    <xf numFmtId="0" fontId="7" fillId="0" borderId="0" xfId="0" applyFont="1" applyBorder="1"/>
    <xf numFmtId="0" fontId="7" fillId="0" borderId="0" xfId="0" applyFont="1"/>
    <xf numFmtId="0" fontId="22" fillId="0" borderId="1" xfId="0" applyFont="1" applyBorder="1"/>
    <xf numFmtId="43" fontId="22" fillId="0" borderId="1" xfId="0" applyNumberFormat="1" applyFont="1" applyBorder="1"/>
    <xf numFmtId="0" fontId="27" fillId="0" borderId="0" xfId="0" applyFont="1" applyBorder="1"/>
    <xf numFmtId="43" fontId="22" fillId="0" borderId="0" xfId="0" applyNumberFormat="1" applyFont="1" applyBorder="1"/>
    <xf numFmtId="0" fontId="8" fillId="0" borderId="0" xfId="0" applyFont="1" applyBorder="1"/>
    <xf numFmtId="177" fontId="25" fillId="0" borderId="0" xfId="16" applyNumberFormat="1" applyFont="1" applyAlignment="1">
      <alignment wrapText="1"/>
    </xf>
    <xf numFmtId="177" fontId="17" fillId="0" borderId="0" xfId="16" applyNumberFormat="1" applyFont="1" applyAlignment="1">
      <alignment vertical="center" wrapText="1"/>
    </xf>
    <xf numFmtId="43" fontId="28" fillId="0" borderId="0" xfId="0" applyNumberFormat="1" applyFont="1"/>
    <xf numFmtId="0" fontId="29" fillId="0" borderId="0" xfId="9" applyFont="1" applyFill="1" applyAlignment="1">
      <alignment horizontal="center" vertical="center" wrapText="1"/>
    </xf>
    <xf numFmtId="0" fontId="29" fillId="0" borderId="0" xfId="11" applyFont="1" applyFill="1" applyAlignment="1">
      <alignment vertical="center" wrapText="1"/>
    </xf>
    <xf numFmtId="0" fontId="30" fillId="0" borderId="0" xfId="11" applyFont="1" applyFill="1" applyAlignment="1">
      <alignment vertical="center" wrapText="1"/>
    </xf>
    <xf numFmtId="0" fontId="30" fillId="0" borderId="0" xfId="11" applyFont="1" applyFill="1" applyBorder="1" applyAlignment="1">
      <alignment vertical="center" wrapText="1"/>
    </xf>
    <xf numFmtId="186" fontId="30" fillId="0" borderId="0" xfId="7" applyNumberFormat="1" applyFont="1" applyFill="1" applyAlignment="1">
      <alignment vertical="center" shrinkToFit="1"/>
    </xf>
    <xf numFmtId="186" fontId="29" fillId="0" borderId="0" xfId="7" applyNumberFormat="1" applyFont="1" applyFill="1" applyAlignment="1">
      <alignment vertical="center" shrinkToFit="1"/>
    </xf>
    <xf numFmtId="186" fontId="29" fillId="0" borderId="0" xfId="7" applyNumberFormat="1" applyFont="1" applyFill="1" applyBorder="1" applyAlignment="1">
      <alignment vertical="center" shrinkToFit="1"/>
    </xf>
    <xf numFmtId="186" fontId="29" fillId="0" borderId="0" xfId="7" applyNumberFormat="1" applyFont="1" applyFill="1" applyAlignment="1">
      <alignment horizontal="center" vertical="center" wrapText="1"/>
    </xf>
    <xf numFmtId="186" fontId="29" fillId="0" borderId="0" xfId="7" applyNumberFormat="1" applyFont="1" applyFill="1" applyAlignment="1">
      <alignment vertical="center" wrapText="1"/>
    </xf>
    <xf numFmtId="186" fontId="29" fillId="0" borderId="0" xfId="17" applyNumberFormat="1" applyFont="1" applyFill="1" applyAlignment="1">
      <alignment vertical="center" wrapText="1"/>
    </xf>
    <xf numFmtId="0" fontId="31" fillId="0" borderId="0" xfId="9" applyFont="1" applyFill="1" applyBorder="1" applyAlignment="1" applyProtection="1">
      <alignment vertical="center"/>
    </xf>
    <xf numFmtId="0" fontId="29" fillId="0" borderId="0" xfId="11" applyFont="1" applyFill="1" applyAlignment="1" applyProtection="1">
      <alignment horizontal="left" vertical="center" wrapText="1"/>
    </xf>
    <xf numFmtId="0" fontId="30" fillId="0" borderId="0" xfId="11" applyFont="1" applyFill="1" applyAlignment="1" applyProtection="1">
      <alignment vertical="center"/>
    </xf>
    <xf numFmtId="0" fontId="30" fillId="0" borderId="0" xfId="11" applyFont="1" applyFill="1" applyBorder="1" applyAlignment="1" applyProtection="1">
      <alignment vertical="center"/>
    </xf>
    <xf numFmtId="186" fontId="21" fillId="2" borderId="1" xfId="7" applyNumberFormat="1" applyFont="1" applyFill="1" applyBorder="1" applyAlignment="1" applyProtection="1">
      <alignment horizontal="center" vertical="center" wrapText="1"/>
    </xf>
    <xf numFmtId="186" fontId="17" fillId="2" borderId="1" xfId="7" applyNumberFormat="1" applyFont="1" applyFill="1" applyBorder="1" applyAlignment="1" applyProtection="1">
      <alignment horizontal="center" vertical="center" wrapText="1"/>
    </xf>
    <xf numFmtId="49" fontId="17" fillId="2" borderId="1" xfId="7" applyNumberFormat="1" applyFont="1" applyFill="1" applyBorder="1" applyAlignment="1" applyProtection="1">
      <alignment horizontal="center" vertical="center" shrinkToFit="1"/>
    </xf>
    <xf numFmtId="186" fontId="17" fillId="2" borderId="1" xfId="7" applyNumberFormat="1" applyFont="1" applyFill="1" applyBorder="1" applyAlignment="1" applyProtection="1">
      <alignment horizontal="left" vertical="center" shrinkToFit="1"/>
    </xf>
    <xf numFmtId="43" fontId="17" fillId="2" borderId="1" xfId="1" applyFont="1" applyFill="1" applyBorder="1" applyAlignment="1" applyProtection="1">
      <alignment horizontal="right" vertical="center" shrinkToFit="1"/>
    </xf>
    <xf numFmtId="184" fontId="17" fillId="2" borderId="1" xfId="4" applyNumberFormat="1" applyFont="1" applyFill="1" applyBorder="1" applyAlignment="1" applyProtection="1">
      <alignment horizontal="right" vertical="center" shrinkToFit="1"/>
    </xf>
    <xf numFmtId="43" fontId="17" fillId="2" borderId="1" xfId="18" applyFont="1" applyFill="1" applyBorder="1" applyAlignment="1" applyProtection="1">
      <alignment horizontal="left" vertical="center" shrinkToFit="1"/>
    </xf>
    <xf numFmtId="49" fontId="10" fillId="2" borderId="1" xfId="7" applyNumberFormat="1" applyFont="1" applyFill="1" applyBorder="1" applyAlignment="1" applyProtection="1">
      <alignment horizontal="center" vertical="center" shrinkToFit="1"/>
    </xf>
    <xf numFmtId="186" fontId="10" fillId="2" borderId="1" xfId="7" applyNumberFormat="1" applyFont="1" applyFill="1" applyBorder="1" applyAlignment="1" applyProtection="1">
      <alignment horizontal="left" vertical="center" shrinkToFit="1"/>
    </xf>
    <xf numFmtId="43" fontId="10" fillId="2" borderId="1" xfId="1" applyFont="1" applyFill="1" applyBorder="1" applyAlignment="1" applyProtection="1">
      <alignment horizontal="right" vertical="center" shrinkToFit="1"/>
    </xf>
    <xf numFmtId="184" fontId="10" fillId="2" borderId="1" xfId="4" applyNumberFormat="1" applyFont="1" applyFill="1" applyBorder="1" applyAlignment="1" applyProtection="1">
      <alignment horizontal="right" vertical="center" shrinkToFit="1"/>
    </xf>
    <xf numFmtId="43" fontId="10" fillId="2" borderId="1" xfId="18" applyFont="1" applyFill="1" applyBorder="1" applyAlignment="1" applyProtection="1">
      <alignment horizontal="left" vertical="center" shrinkToFit="1"/>
    </xf>
    <xf numFmtId="186" fontId="10" fillId="2" borderId="1" xfId="7" applyNumberFormat="1" applyFont="1" applyFill="1" applyBorder="1" applyAlignment="1" applyProtection="1">
      <alignment vertical="center" shrinkToFit="1"/>
    </xf>
    <xf numFmtId="186" fontId="13" fillId="2" borderId="1" xfId="7" applyNumberFormat="1" applyFont="1" applyFill="1" applyBorder="1" applyAlignment="1" applyProtection="1">
      <alignment vertical="center" shrinkToFit="1"/>
    </xf>
    <xf numFmtId="186" fontId="17" fillId="2" borderId="1" xfId="7" applyNumberFormat="1" applyFont="1" applyFill="1" applyBorder="1" applyAlignment="1" applyProtection="1">
      <alignment vertical="center" shrinkToFit="1"/>
    </xf>
    <xf numFmtId="186" fontId="21" fillId="2" borderId="1" xfId="7" applyNumberFormat="1" applyFont="1" applyFill="1" applyBorder="1" applyAlignment="1" applyProtection="1">
      <alignment vertical="center" shrinkToFit="1"/>
    </xf>
    <xf numFmtId="185" fontId="17" fillId="2" borderId="1" xfId="7" applyNumberFormat="1" applyFont="1" applyFill="1" applyBorder="1" applyAlignment="1" applyProtection="1">
      <alignment horizontal="center" vertical="center" shrinkToFit="1"/>
    </xf>
    <xf numFmtId="186" fontId="32" fillId="0" borderId="0" xfId="7" applyNumberFormat="1" applyFont="1" applyFill="1" applyBorder="1" applyAlignment="1">
      <alignment vertical="center" shrinkToFit="1"/>
    </xf>
    <xf numFmtId="186" fontId="32" fillId="0" borderId="8" xfId="17" applyNumberFormat="1" applyFont="1" applyFill="1" applyBorder="1" applyAlignment="1">
      <alignment horizontal="left" vertical="center" shrinkToFit="1"/>
    </xf>
    <xf numFmtId="186" fontId="32" fillId="0" borderId="0" xfId="17" applyNumberFormat="1" applyFont="1" applyFill="1" applyBorder="1" applyAlignment="1">
      <alignment horizontal="left" vertical="center" shrinkToFit="1"/>
    </xf>
    <xf numFmtId="186" fontId="29" fillId="0" borderId="0" xfId="7" applyNumberFormat="1" applyFont="1" applyFill="1" applyAlignment="1">
      <alignment horizontal="center" vertical="center" shrinkToFit="1"/>
    </xf>
    <xf numFmtId="186" fontId="21" fillId="2" borderId="1" xfId="7" applyNumberFormat="1" applyFont="1" applyFill="1" applyBorder="1" applyAlignment="1">
      <alignment horizontal="left" vertical="center" shrinkToFit="1"/>
    </xf>
    <xf numFmtId="43" fontId="13" fillId="2" borderId="1" xfId="7" applyNumberFormat="1" applyFont="1" applyFill="1" applyBorder="1" applyAlignment="1">
      <alignment vertical="center" shrinkToFit="1"/>
    </xf>
    <xf numFmtId="186" fontId="21" fillId="2" borderId="1" xfId="7" applyNumberFormat="1" applyFont="1" applyFill="1" applyBorder="1" applyAlignment="1">
      <alignment vertical="center" shrinkToFit="1"/>
    </xf>
    <xf numFmtId="186" fontId="17" fillId="2" borderId="1" xfId="7" applyNumberFormat="1" applyFont="1" applyFill="1" applyBorder="1" applyAlignment="1">
      <alignment vertical="center" shrinkToFit="1"/>
    </xf>
    <xf numFmtId="0" fontId="29" fillId="0" borderId="0" xfId="11" applyFont="1" applyFill="1" applyAlignment="1" applyProtection="1">
      <alignment vertical="center" wrapText="1"/>
    </xf>
    <xf numFmtId="0" fontId="30" fillId="0" borderId="0" xfId="11" applyFont="1" applyFill="1" applyAlignment="1" applyProtection="1">
      <alignment vertical="center" wrapText="1"/>
    </xf>
    <xf numFmtId="0" fontId="33" fillId="0" borderId="0" xfId="11" applyFont="1" applyFill="1" applyAlignment="1" applyProtection="1">
      <alignment vertical="center"/>
    </xf>
    <xf numFmtId="0" fontId="30" fillId="0" borderId="0" xfId="11" applyFont="1" applyFill="1" applyBorder="1" applyAlignment="1" applyProtection="1">
      <alignment vertical="center" wrapText="1"/>
    </xf>
    <xf numFmtId="43" fontId="17" fillId="2" borderId="1" xfId="18" applyFont="1" applyFill="1" applyBorder="1" applyAlignment="1" applyProtection="1">
      <alignment horizontal="center" vertical="center" shrinkToFit="1"/>
    </xf>
    <xf numFmtId="43" fontId="10" fillId="2" borderId="1" xfId="18" applyFont="1" applyFill="1" applyBorder="1" applyAlignment="1" applyProtection="1">
      <alignment horizontal="center" vertical="center" shrinkToFit="1"/>
    </xf>
    <xf numFmtId="43" fontId="10" fillId="0" borderId="1" xfId="18" applyFont="1" applyFill="1" applyBorder="1" applyAlignment="1" applyProtection="1">
      <alignment horizontal="left" vertical="center" shrinkToFit="1"/>
      <protection locked="0"/>
    </xf>
    <xf numFmtId="43" fontId="10" fillId="0" borderId="1" xfId="18" applyFont="1" applyFill="1" applyBorder="1" applyAlignment="1" applyProtection="1">
      <alignment vertical="center" shrinkToFit="1"/>
      <protection locked="0"/>
    </xf>
    <xf numFmtId="43" fontId="17" fillId="2" borderId="1" xfId="18" applyFont="1" applyFill="1" applyBorder="1" applyAlignment="1" applyProtection="1">
      <alignment vertical="center" shrinkToFit="1"/>
    </xf>
    <xf numFmtId="186" fontId="29" fillId="0" borderId="0" xfId="17" applyNumberFormat="1" applyFont="1" applyFill="1" applyAlignment="1">
      <alignment vertical="center" shrinkToFit="1"/>
    </xf>
    <xf numFmtId="182" fontId="29" fillId="0" borderId="0" xfId="9" applyNumberFormat="1" applyFont="1" applyFill="1" applyAlignment="1" applyProtection="1">
      <alignment horizontal="center" vertical="center" wrapText="1"/>
    </xf>
    <xf numFmtId="43" fontId="34" fillId="5" borderId="12" xfId="1" applyFont="1" applyFill="1" applyBorder="1" applyAlignment="1" applyProtection="1">
      <alignment horizontal="right" vertical="center" wrapText="1"/>
      <protection locked="0"/>
    </xf>
    <xf numFmtId="0" fontId="0" fillId="3" borderId="0" xfId="0" applyFill="1" applyProtection="1"/>
    <xf numFmtId="0" fontId="35" fillId="0" borderId="0" xfId="0" applyFont="1" applyFill="1" applyProtection="1"/>
    <xf numFmtId="0" fontId="12" fillId="0" borderId="0" xfId="0" applyFont="1" applyFill="1" applyProtection="1"/>
    <xf numFmtId="0" fontId="12" fillId="0" borderId="0" xfId="0" applyFont="1" applyAlignment="1" applyProtection="1">
      <alignment vertical="center"/>
    </xf>
    <xf numFmtId="0" fontId="35" fillId="0" borderId="0" xfId="0" applyFont="1" applyAlignment="1" applyProtection="1">
      <alignment vertical="center"/>
    </xf>
    <xf numFmtId="43" fontId="21" fillId="2" borderId="1" xfId="1" applyFont="1" applyFill="1" applyBorder="1" applyAlignment="1" applyProtection="1">
      <alignment horizontal="center" vertical="center" wrapText="1"/>
    </xf>
    <xf numFmtId="183" fontId="17" fillId="2" borderId="1" xfId="0" applyNumberFormat="1" applyFont="1" applyFill="1" applyBorder="1" applyAlignment="1" applyProtection="1">
      <alignment horizontal="center" vertical="center"/>
    </xf>
    <xf numFmtId="43" fontId="17" fillId="2" borderId="1" xfId="1" applyFont="1" applyFill="1" applyBorder="1" applyAlignment="1" applyProtection="1">
      <alignment horizontal="center" vertical="center" shrinkToFit="1"/>
    </xf>
    <xf numFmtId="43" fontId="10" fillId="2" borderId="1" xfId="1" applyFont="1" applyFill="1" applyBorder="1" applyAlignment="1" applyProtection="1">
      <alignment horizontal="center" vertical="center" shrinkToFit="1"/>
    </xf>
    <xf numFmtId="43" fontId="10" fillId="0" borderId="1" xfId="1" applyFont="1" applyFill="1" applyBorder="1" applyAlignment="1" applyProtection="1">
      <alignment horizontal="center" vertical="center" shrinkToFit="1"/>
      <protection locked="0"/>
    </xf>
    <xf numFmtId="43" fontId="10" fillId="3" borderId="1" xfId="1" applyFont="1" applyFill="1" applyBorder="1" applyAlignment="1" applyProtection="1">
      <alignment horizontal="center" vertical="center" shrinkToFit="1"/>
      <protection locked="0"/>
    </xf>
    <xf numFmtId="43" fontId="17" fillId="0" borderId="1" xfId="1" applyFont="1" applyFill="1" applyBorder="1" applyAlignment="1" applyProtection="1">
      <alignment horizontal="center" vertical="center" shrinkToFit="1"/>
      <protection locked="0"/>
    </xf>
    <xf numFmtId="183" fontId="14" fillId="0" borderId="0" xfId="0" applyNumberFormat="1" applyFont="1" applyFill="1" applyBorder="1" applyAlignment="1" applyProtection="1">
      <alignment horizontal="left" vertical="center"/>
    </xf>
    <xf numFmtId="43" fontId="14" fillId="0" borderId="0" xfId="1" applyFont="1" applyFill="1" applyBorder="1" applyAlignment="1" applyProtection="1">
      <alignment horizontal="center" vertical="center"/>
    </xf>
    <xf numFmtId="43" fontId="14" fillId="0" borderId="8" xfId="1" applyFont="1" applyFill="1" applyBorder="1" applyAlignment="1" applyProtection="1">
      <alignment horizontal="center" vertical="center"/>
    </xf>
    <xf numFmtId="0" fontId="20" fillId="0" borderId="0" xfId="0" applyFont="1" applyFill="1" applyProtection="1"/>
    <xf numFmtId="43" fontId="14" fillId="0" borderId="0" xfId="1" applyFont="1" applyFill="1" applyAlignment="1" applyProtection="1"/>
    <xf numFmtId="43" fontId="12" fillId="3" borderId="0" xfId="1" applyFont="1" applyFill="1" applyBorder="1" applyAlignment="1" applyProtection="1"/>
    <xf numFmtId="43" fontId="36" fillId="6" borderId="0" xfId="1" applyFont="1" applyFill="1" applyBorder="1" applyAlignment="1" applyProtection="1"/>
    <xf numFmtId="49" fontId="36" fillId="0" borderId="0" xfId="0" applyNumberFormat="1" applyFont="1" applyBorder="1" applyAlignment="1">
      <alignment horizontal="left" vertical="center"/>
    </xf>
    <xf numFmtId="49" fontId="37" fillId="0" borderId="0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43" fontId="36" fillId="6" borderId="1" xfId="1" applyFont="1" applyFill="1" applyBorder="1" applyAlignment="1" applyProtection="1"/>
    <xf numFmtId="43" fontId="24" fillId="0" borderId="1" xfId="0" applyNumberFormat="1" applyFont="1" applyBorder="1"/>
    <xf numFmtId="0" fontId="35" fillId="0" borderId="0" xfId="0" applyFont="1" applyFill="1" applyAlignment="1" applyProtection="1">
      <alignment vertical="center"/>
    </xf>
    <xf numFmtId="43" fontId="14" fillId="0" borderId="0" xfId="1" applyFont="1" applyFill="1" applyAlignment="1" applyProtection="1">
      <alignment horizontal="center"/>
    </xf>
    <xf numFmtId="43" fontId="38" fillId="2" borderId="7" xfId="1" applyFont="1" applyFill="1" applyBorder="1" applyAlignment="1" applyProtection="1">
      <alignment horizontal="center" vertical="center" wrapText="1"/>
    </xf>
    <xf numFmtId="43" fontId="24" fillId="0" borderId="1" xfId="1" applyFont="1" applyBorder="1" applyAlignment="1"/>
    <xf numFmtId="0" fontId="8" fillId="2" borderId="1" xfId="0" applyFont="1" applyFill="1" applyBorder="1" applyAlignment="1">
      <alignment horizontal="left" vertical="center" wrapText="1"/>
    </xf>
    <xf numFmtId="0" fontId="10" fillId="0" borderId="0" xfId="14" applyFont="1" applyAlignment="1">
      <alignment horizontal="center" vertical="center"/>
    </xf>
    <xf numFmtId="0" fontId="17" fillId="0" borderId="0" xfId="14" applyFont="1" applyAlignment="1">
      <alignment horizontal="center" vertical="center"/>
    </xf>
    <xf numFmtId="0" fontId="17" fillId="0" borderId="0" xfId="14" applyFont="1" applyFill="1" applyAlignment="1">
      <alignment horizontal="center" vertical="center"/>
    </xf>
    <xf numFmtId="0" fontId="10" fillId="0" borderId="0" xfId="14" applyFont="1" applyAlignment="1">
      <alignment vertical="center"/>
    </xf>
    <xf numFmtId="0" fontId="39" fillId="0" borderId="0" xfId="0" applyFont="1" applyBorder="1" applyAlignment="1" applyProtection="1">
      <alignment vertical="center" wrapText="1"/>
    </xf>
    <xf numFmtId="0" fontId="17" fillId="2" borderId="1" xfId="8" applyFont="1" applyFill="1" applyBorder="1" applyAlignment="1" applyProtection="1">
      <alignment horizontal="center" vertical="center"/>
    </xf>
    <xf numFmtId="0" fontId="21" fillId="2" borderId="1" xfId="8" applyFont="1" applyFill="1" applyBorder="1" applyAlignment="1" applyProtection="1">
      <alignment horizontal="center" vertical="center" wrapText="1"/>
    </xf>
    <xf numFmtId="184" fontId="17" fillId="2" borderId="1" xfId="4" applyNumberFormat="1" applyFont="1" applyFill="1" applyBorder="1" applyAlignment="1" applyProtection="1">
      <alignment horizontal="right" vertical="center" wrapText="1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1" fillId="2" borderId="1" xfId="8" applyFont="1" applyFill="1" applyBorder="1" applyAlignment="1" applyProtection="1">
      <alignment horizontal="left" vertical="center"/>
    </xf>
    <xf numFmtId="176" fontId="17" fillId="2" borderId="1" xfId="18" applyNumberFormat="1" applyFont="1" applyFill="1" applyBorder="1" applyAlignment="1" applyProtection="1">
      <alignment horizontal="right" vertical="center"/>
    </xf>
    <xf numFmtId="184" fontId="17" fillId="2" borderId="1" xfId="4" applyNumberFormat="1" applyFont="1" applyFill="1" applyBorder="1" applyAlignment="1" applyProtection="1">
      <alignment horizontal="right" vertical="center"/>
    </xf>
    <xf numFmtId="0" fontId="10" fillId="2" borderId="1" xfId="8" applyNumberFormat="1" applyFont="1" applyFill="1" applyBorder="1" applyAlignment="1" applyProtection="1">
      <alignment horizontal="center" vertical="center"/>
    </xf>
    <xf numFmtId="0" fontId="13" fillId="4" borderId="1" xfId="8" applyFont="1" applyFill="1" applyBorder="1" applyAlignment="1" applyProtection="1">
      <alignment horizontal="right" vertical="center"/>
    </xf>
    <xf numFmtId="176" fontId="10" fillId="0" borderId="1" xfId="18" applyNumberFormat="1" applyFont="1" applyFill="1" applyBorder="1" applyAlignment="1" applyProtection="1">
      <alignment horizontal="right" vertical="center" shrinkToFit="1"/>
      <protection locked="0"/>
    </xf>
    <xf numFmtId="176" fontId="10" fillId="2" borderId="1" xfId="18" applyNumberFormat="1" applyFont="1" applyFill="1" applyBorder="1" applyAlignment="1" applyProtection="1">
      <alignment horizontal="right" vertical="center"/>
    </xf>
    <xf numFmtId="184" fontId="10" fillId="2" borderId="1" xfId="4" applyNumberFormat="1" applyFont="1" applyFill="1" applyBorder="1" applyAlignment="1" applyProtection="1">
      <alignment horizontal="right" vertical="center" wrapText="1"/>
    </xf>
    <xf numFmtId="182" fontId="21" fillId="2" borderId="1" xfId="8" applyNumberFormat="1" applyFont="1" applyFill="1" applyBorder="1" applyAlignment="1" applyProtection="1">
      <alignment horizontal="left" vertical="center"/>
    </xf>
    <xf numFmtId="176" fontId="17" fillId="3" borderId="1" xfId="18" applyNumberFormat="1" applyFont="1" applyFill="1" applyBorder="1" applyAlignment="1" applyProtection="1">
      <alignment horizontal="right" vertical="center" shrinkToFit="1"/>
      <protection locked="0"/>
    </xf>
    <xf numFmtId="182" fontId="10" fillId="2" borderId="1" xfId="8" applyNumberFormat="1" applyFont="1" applyFill="1" applyBorder="1" applyAlignment="1" applyProtection="1">
      <alignment horizontal="left" vertical="center"/>
    </xf>
    <xf numFmtId="184" fontId="17" fillId="2" borderId="1" xfId="8" applyNumberFormat="1" applyFont="1" applyFill="1" applyBorder="1" applyAlignment="1" applyProtection="1">
      <alignment horizontal="right" vertical="center"/>
    </xf>
    <xf numFmtId="182" fontId="17" fillId="2" borderId="1" xfId="8" applyNumberFormat="1" applyFont="1" applyFill="1" applyBorder="1" applyAlignment="1" applyProtection="1">
      <alignment horizontal="left" vertical="center"/>
    </xf>
    <xf numFmtId="176" fontId="10" fillId="3" borderId="1" xfId="18" applyNumberFormat="1" applyFont="1" applyFill="1" applyBorder="1" applyAlignment="1" applyProtection="1">
      <alignment horizontal="right" vertical="center" shrinkToFit="1"/>
      <protection locked="0"/>
    </xf>
    <xf numFmtId="182" fontId="10" fillId="2" borderId="1" xfId="8" applyNumberFormat="1" applyFont="1" applyFill="1" applyBorder="1" applyAlignment="1" applyProtection="1">
      <alignment vertical="center"/>
    </xf>
    <xf numFmtId="182" fontId="17" fillId="2" borderId="1" xfId="8" applyNumberFormat="1" applyFont="1" applyFill="1" applyBorder="1" applyAlignment="1" applyProtection="1">
      <alignment vertical="center"/>
    </xf>
    <xf numFmtId="182" fontId="13" fillId="4" borderId="1" xfId="8" applyNumberFormat="1" applyFont="1" applyFill="1" applyBorder="1" applyAlignment="1" applyProtection="1">
      <alignment horizontal="right" vertical="center"/>
    </xf>
    <xf numFmtId="182" fontId="13" fillId="2" borderId="1" xfId="8" applyNumberFormat="1" applyFont="1" applyFill="1" applyBorder="1" applyAlignment="1" applyProtection="1">
      <alignment horizontal="left" vertical="center"/>
    </xf>
    <xf numFmtId="0" fontId="17" fillId="2" borderId="1" xfId="8" applyFont="1" applyFill="1" applyBorder="1" applyAlignment="1" applyProtection="1">
      <alignment horizontal="left" vertical="center"/>
    </xf>
    <xf numFmtId="184" fontId="10" fillId="2" borderId="1" xfId="4" applyNumberFormat="1" applyFont="1" applyFill="1" applyBorder="1" applyAlignment="1" applyProtection="1">
      <alignment horizontal="right" vertical="center"/>
    </xf>
    <xf numFmtId="0" fontId="10" fillId="2" borderId="1" xfId="8" applyNumberFormat="1" applyFont="1" applyFill="1" applyBorder="1" applyAlignment="1" applyProtection="1">
      <alignment vertical="center" wrapText="1"/>
    </xf>
    <xf numFmtId="0" fontId="10" fillId="2" borderId="1" xfId="11" applyFont="1" applyFill="1" applyBorder="1" applyAlignment="1" applyProtection="1">
      <alignment vertical="center" wrapText="1"/>
    </xf>
    <xf numFmtId="176" fontId="10" fillId="0" borderId="1" xfId="18" applyNumberFormat="1" applyFont="1" applyFill="1" applyBorder="1" applyAlignment="1" applyProtection="1">
      <alignment vertical="center" wrapText="1"/>
    </xf>
    <xf numFmtId="176" fontId="10" fillId="2" borderId="1" xfId="18" applyNumberFormat="1" applyFont="1" applyFill="1" applyBorder="1" applyAlignment="1" applyProtection="1">
      <alignment vertical="center" wrapText="1"/>
    </xf>
    <xf numFmtId="176" fontId="10" fillId="2" borderId="1" xfId="18" applyNumberFormat="1" applyFont="1" applyFill="1" applyBorder="1" applyAlignment="1" applyProtection="1">
      <alignment horizontal="right" vertical="center" wrapText="1"/>
    </xf>
    <xf numFmtId="0" fontId="10" fillId="0" borderId="0" xfId="14" applyNumberFormat="1" applyFont="1" applyAlignment="1">
      <alignment vertical="center"/>
    </xf>
    <xf numFmtId="0" fontId="13" fillId="0" borderId="0" xfId="14" applyNumberFormat="1" applyFont="1" applyAlignment="1">
      <alignment vertical="center"/>
    </xf>
    <xf numFmtId="0" fontId="10" fillId="3" borderId="0" xfId="14" applyNumberFormat="1" applyFont="1" applyFill="1" applyAlignment="1">
      <alignment vertical="center"/>
    </xf>
    <xf numFmtId="0" fontId="10" fillId="3" borderId="0" xfId="14" applyFont="1" applyFill="1" applyAlignment="1">
      <alignment vertical="center"/>
    </xf>
    <xf numFmtId="0" fontId="10" fillId="3" borderId="0" xfId="14" applyFont="1" applyFill="1" applyAlignment="1">
      <alignment horizontal="center" vertical="center"/>
    </xf>
    <xf numFmtId="49" fontId="22" fillId="0" borderId="0" xfId="0" applyNumberFormat="1" applyFont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 wrapText="1"/>
    </xf>
    <xf numFmtId="176" fontId="10" fillId="2" borderId="1" xfId="18" applyNumberFormat="1" applyFont="1" applyFill="1" applyBorder="1" applyAlignment="1" applyProtection="1">
      <alignment horizontal="right" vertical="center" shrinkToFit="1"/>
    </xf>
    <xf numFmtId="176" fontId="17" fillId="2" borderId="1" xfId="18" applyNumberFormat="1" applyFont="1" applyFill="1" applyBorder="1" applyAlignment="1" applyProtection="1">
      <alignment horizontal="right" vertical="center" shrinkToFit="1"/>
    </xf>
    <xf numFmtId="0" fontId="10" fillId="0" borderId="0" xfId="14" applyFont="1" applyAlignment="1" applyProtection="1">
      <alignment horizontal="center" vertical="center"/>
    </xf>
    <xf numFmtId="0" fontId="22" fillId="0" borderId="0" xfId="14" applyFont="1" applyAlignment="1" applyProtection="1">
      <alignment horizontal="center" vertical="center"/>
    </xf>
    <xf numFmtId="43" fontId="25" fillId="0" borderId="0" xfId="1" applyFont="1" applyAlignment="1" applyProtection="1">
      <alignment horizontal="center" vertical="center"/>
    </xf>
    <xf numFmtId="176" fontId="22" fillId="0" borderId="0" xfId="14" applyNumberFormat="1" applyFont="1" applyAlignment="1" applyProtection="1">
      <alignment horizontal="center" vertical="center"/>
    </xf>
    <xf numFmtId="0" fontId="17" fillId="0" borderId="0" xfId="14" applyFont="1" applyFill="1" applyAlignment="1" applyProtection="1">
      <alignment horizontal="center" vertical="center"/>
    </xf>
    <xf numFmtId="0" fontId="17" fillId="0" borderId="0" xfId="14" applyFont="1" applyAlignment="1" applyProtection="1">
      <alignment horizontal="center" vertical="center"/>
    </xf>
    <xf numFmtId="0" fontId="18" fillId="0" borderId="0" xfId="0" applyFont="1" applyProtection="1"/>
    <xf numFmtId="49" fontId="37" fillId="2" borderId="13" xfId="0" applyNumberFormat="1" applyFont="1" applyFill="1" applyBorder="1" applyAlignment="1" applyProtection="1">
      <alignment horizontal="center" vertical="center" wrapText="1"/>
    </xf>
    <xf numFmtId="49" fontId="41" fillId="2" borderId="1" xfId="0" applyNumberFormat="1" applyFont="1" applyFill="1" applyBorder="1" applyAlignment="1" applyProtection="1">
      <alignment horizontal="center" vertical="center"/>
    </xf>
    <xf numFmtId="49" fontId="37" fillId="2" borderId="1" xfId="0" applyNumberFormat="1" applyFont="1" applyFill="1" applyBorder="1" applyAlignment="1" applyProtection="1">
      <alignment horizontal="center" vertical="center"/>
    </xf>
    <xf numFmtId="49" fontId="37" fillId="2" borderId="14" xfId="0" applyNumberFormat="1" applyFont="1" applyFill="1" applyBorder="1" applyAlignment="1" applyProtection="1">
      <alignment horizontal="left" vertical="center"/>
    </xf>
    <xf numFmtId="43" fontId="42" fillId="2" borderId="14" xfId="1" applyFont="1" applyFill="1" applyBorder="1" applyAlignment="1" applyProtection="1">
      <alignment horizontal="center" vertical="center"/>
    </xf>
    <xf numFmtId="43" fontId="43" fillId="2" borderId="14" xfId="1" applyFont="1" applyFill="1" applyBorder="1" applyAlignment="1" applyProtection="1">
      <alignment horizontal="center" vertical="center"/>
    </xf>
    <xf numFmtId="49" fontId="44" fillId="2" borderId="14" xfId="0" applyNumberFormat="1" applyFont="1" applyFill="1" applyBorder="1" applyAlignment="1" applyProtection="1">
      <alignment horizontal="left" vertical="center"/>
    </xf>
    <xf numFmtId="43" fontId="37" fillId="2" borderId="14" xfId="1" applyFont="1" applyFill="1" applyBorder="1" applyAlignment="1" applyProtection="1">
      <alignment horizontal="right" vertical="center" shrinkToFit="1"/>
    </xf>
    <xf numFmtId="49" fontId="45" fillId="4" borderId="14" xfId="0" applyNumberFormat="1" applyFont="1" applyFill="1" applyBorder="1" applyAlignment="1" applyProtection="1">
      <alignment horizontal="right" vertical="center"/>
    </xf>
    <xf numFmtId="43" fontId="44" fillId="3" borderId="14" xfId="1" applyFont="1" applyFill="1" applyBorder="1" applyAlignment="1" applyProtection="1">
      <alignment horizontal="right" vertical="center" shrinkToFit="1"/>
      <protection locked="0"/>
    </xf>
    <xf numFmtId="49" fontId="37" fillId="2" borderId="14" xfId="0" applyNumberFormat="1" applyFont="1" applyFill="1" applyBorder="1" applyAlignment="1" applyProtection="1">
      <alignment horizontal="center" vertical="center"/>
    </xf>
    <xf numFmtId="49" fontId="44" fillId="4" borderId="14" xfId="0" applyNumberFormat="1" applyFont="1" applyFill="1" applyBorder="1" applyAlignment="1" applyProtection="1">
      <alignment horizontal="right" vertical="center"/>
    </xf>
    <xf numFmtId="43" fontId="42" fillId="2" borderId="14" xfId="1" applyFont="1" applyFill="1" applyBorder="1" applyAlignment="1" applyProtection="1">
      <alignment horizontal="center" vertical="center" shrinkToFit="1"/>
    </xf>
    <xf numFmtId="43" fontId="43" fillId="2" borderId="14" xfId="1" applyFont="1" applyFill="1" applyBorder="1" applyAlignment="1" applyProtection="1">
      <alignment horizontal="center" vertical="center" shrinkToFit="1"/>
    </xf>
    <xf numFmtId="43" fontId="44" fillId="0" borderId="14" xfId="1" applyFont="1" applyBorder="1" applyAlignment="1" applyProtection="1">
      <alignment horizontal="right" vertical="center" shrinkToFit="1"/>
      <protection locked="0"/>
    </xf>
    <xf numFmtId="49" fontId="44" fillId="2" borderId="14" xfId="0" applyNumberFormat="1" applyFont="1" applyFill="1" applyBorder="1" applyAlignment="1" applyProtection="1">
      <alignment horizontal="left" vertical="center" wrapText="1"/>
    </xf>
    <xf numFmtId="49" fontId="41" fillId="2" borderId="14" xfId="0" applyNumberFormat="1" applyFont="1" applyFill="1" applyBorder="1" applyAlignment="1" applyProtection="1">
      <alignment horizontal="left" vertical="center"/>
    </xf>
    <xf numFmtId="43" fontId="44" fillId="2" borderId="14" xfId="1" applyFont="1" applyFill="1" applyBorder="1" applyAlignment="1" applyProtection="1">
      <alignment horizontal="right" vertical="center" shrinkToFit="1"/>
    </xf>
    <xf numFmtId="49" fontId="45" fillId="2" borderId="14" xfId="0" applyNumberFormat="1" applyFont="1" applyFill="1" applyBorder="1" applyAlignment="1" applyProtection="1">
      <alignment horizontal="left" vertical="center"/>
    </xf>
    <xf numFmtId="43" fontId="44" fillId="4" borderId="14" xfId="1" applyFont="1" applyFill="1" applyBorder="1" applyAlignment="1" applyProtection="1">
      <alignment horizontal="right" vertical="center" shrinkToFit="1"/>
      <protection locked="0"/>
    </xf>
    <xf numFmtId="49" fontId="44" fillId="0" borderId="0" xfId="0" applyNumberFormat="1" applyFont="1" applyBorder="1" applyAlignment="1">
      <alignment horizontal="left" vertical="center"/>
    </xf>
    <xf numFmtId="49" fontId="37" fillId="2" borderId="14" xfId="0" applyNumberFormat="1" applyFont="1" applyFill="1" applyBorder="1" applyAlignment="1">
      <alignment horizontal="center" vertical="center"/>
    </xf>
    <xf numFmtId="49" fontId="37" fillId="2" borderId="14" xfId="0" applyNumberFormat="1" applyFont="1" applyFill="1" applyBorder="1" applyAlignment="1">
      <alignment horizontal="left" vertical="center"/>
    </xf>
    <xf numFmtId="43" fontId="43" fillId="2" borderId="14" xfId="1" applyFont="1" applyFill="1" applyBorder="1" applyAlignment="1">
      <alignment horizontal="center" vertical="center"/>
    </xf>
    <xf numFmtId="43" fontId="42" fillId="2" borderId="14" xfId="1" applyFont="1" applyFill="1" applyBorder="1" applyAlignment="1">
      <alignment horizontal="center" vertical="center"/>
    </xf>
    <xf numFmtId="49" fontId="44" fillId="2" borderId="14" xfId="0" applyNumberFormat="1" applyFont="1" applyFill="1" applyBorder="1" applyAlignment="1">
      <alignment horizontal="left" vertical="center"/>
    </xf>
    <xf numFmtId="43" fontId="37" fillId="2" borderId="14" xfId="1" applyFont="1" applyFill="1" applyBorder="1" applyAlignment="1">
      <alignment horizontal="right" vertical="center" shrinkToFit="1"/>
    </xf>
    <xf numFmtId="43" fontId="44" fillId="2" borderId="14" xfId="1" applyFont="1" applyFill="1" applyBorder="1" applyAlignment="1">
      <alignment horizontal="right" vertical="center" shrinkToFit="1"/>
    </xf>
    <xf numFmtId="0" fontId="0" fillId="0" borderId="0" xfId="0" applyBorder="1"/>
    <xf numFmtId="43" fontId="46" fillId="0" borderId="0" xfId="0" applyNumberFormat="1" applyFont="1" applyProtection="1"/>
    <xf numFmtId="43" fontId="22" fillId="0" borderId="0" xfId="0" applyNumberFormat="1" applyFont="1"/>
    <xf numFmtId="43" fontId="44" fillId="0" borderId="14" xfId="1" applyFont="1" applyBorder="1" applyAlignment="1">
      <alignment horizontal="right" vertical="center" shrinkToFit="1"/>
    </xf>
    <xf numFmtId="49" fontId="44" fillId="2" borderId="14" xfId="0" applyNumberFormat="1" applyFont="1" applyFill="1" applyBorder="1" applyAlignment="1">
      <alignment horizontal="left" vertical="center" wrapText="1"/>
    </xf>
    <xf numFmtId="43" fontId="44" fillId="3" borderId="14" xfId="1" applyFont="1" applyFill="1" applyBorder="1" applyAlignment="1">
      <alignment horizontal="right" vertical="center" shrinkToFit="1"/>
    </xf>
    <xf numFmtId="49" fontId="41" fillId="2" borderId="14" xfId="0" applyNumberFormat="1" applyFont="1" applyFill="1" applyBorder="1" applyAlignment="1">
      <alignment horizontal="center" vertical="center"/>
    </xf>
    <xf numFmtId="43" fontId="43" fillId="2" borderId="14" xfId="1" applyFont="1" applyFill="1" applyBorder="1" applyAlignment="1">
      <alignment horizontal="center" vertical="center" shrinkToFit="1"/>
    </xf>
    <xf numFmtId="43" fontId="42" fillId="2" borderId="14" xfId="1" applyFont="1" applyFill="1" applyBorder="1" applyAlignment="1">
      <alignment horizontal="center" vertical="center" shrinkToFit="1"/>
    </xf>
    <xf numFmtId="49" fontId="47" fillId="0" borderId="0" xfId="0" applyNumberFormat="1" applyFont="1" applyBorder="1" applyAlignment="1">
      <alignment horizontal="left" vertical="center"/>
    </xf>
    <xf numFmtId="49" fontId="48" fillId="0" borderId="0" xfId="0" applyNumberFormat="1" applyFont="1" applyBorder="1" applyAlignment="1">
      <alignment horizontal="left" vertical="center"/>
    </xf>
    <xf numFmtId="49" fontId="49" fillId="0" borderId="0" xfId="0" applyNumberFormat="1" applyFont="1" applyBorder="1" applyAlignment="1">
      <alignment horizontal="left" vertical="center"/>
    </xf>
    <xf numFmtId="0" fontId="26" fillId="0" borderId="0" xfId="0" applyFont="1" applyProtection="1"/>
    <xf numFmtId="0" fontId="14" fillId="2" borderId="1" xfId="0" applyFont="1" applyFill="1" applyBorder="1" applyAlignment="1" applyProtection="1">
      <alignment horizontal="center" vertical="center"/>
    </xf>
    <xf numFmtId="49" fontId="37" fillId="2" borderId="15" xfId="0" applyNumberFormat="1" applyFont="1" applyFill="1" applyBorder="1" applyAlignment="1" applyProtection="1">
      <alignment horizontal="left" vertical="center"/>
    </xf>
    <xf numFmtId="184" fontId="37" fillId="2" borderId="14" xfId="4" applyNumberFormat="1" applyFont="1" applyFill="1" applyBorder="1" applyAlignment="1" applyProtection="1">
      <alignment horizontal="right" vertical="center" shrinkToFit="1"/>
    </xf>
    <xf numFmtId="43" fontId="37" fillId="2" borderId="15" xfId="1" applyFont="1" applyFill="1" applyBorder="1" applyAlignment="1" applyProtection="1">
      <alignment horizontal="right" vertical="center" shrinkToFit="1"/>
    </xf>
    <xf numFmtId="184" fontId="44" fillId="2" borderId="14" xfId="4" applyNumberFormat="1" applyFont="1" applyFill="1" applyBorder="1" applyAlignment="1" applyProtection="1">
      <alignment horizontal="right" vertical="center" shrinkToFit="1"/>
    </xf>
    <xf numFmtId="184" fontId="37" fillId="2" borderId="15" xfId="4" applyNumberFormat="1" applyFont="1" applyFill="1" applyBorder="1" applyAlignment="1" applyProtection="1">
      <alignment horizontal="right" vertical="center" shrinkToFit="1"/>
    </xf>
    <xf numFmtId="43" fontId="44" fillId="0" borderId="14" xfId="1" applyFont="1" applyBorder="1" applyAlignment="1" applyProtection="1">
      <alignment horizontal="right" vertical="center" shrinkToFit="1"/>
    </xf>
    <xf numFmtId="0" fontId="50" fillId="0" borderId="0" xfId="0" applyFont="1" applyProtection="1"/>
    <xf numFmtId="0" fontId="22" fillId="0" borderId="1" xfId="0" applyFont="1" applyBorder="1" applyProtection="1"/>
    <xf numFmtId="0" fontId="10" fillId="0" borderId="1" xfId="0" applyFont="1" applyBorder="1" applyProtection="1"/>
    <xf numFmtId="49" fontId="41" fillId="2" borderId="16" xfId="0" applyNumberFormat="1" applyFont="1" applyFill="1" applyBorder="1" applyAlignment="1" applyProtection="1">
      <alignment horizontal="center" vertical="center"/>
    </xf>
    <xf numFmtId="49" fontId="37" fillId="2" borderId="16" xfId="0" applyNumberFormat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left" vertical="center" wrapText="1"/>
    </xf>
    <xf numFmtId="43" fontId="22" fillId="0" borderId="1" xfId="0" applyNumberFormat="1" applyFont="1" applyBorder="1" applyProtection="1"/>
    <xf numFmtId="43" fontId="22" fillId="0" borderId="1" xfId="1" applyFont="1" applyBorder="1" applyAlignment="1" applyProtection="1"/>
    <xf numFmtId="0" fontId="7" fillId="2" borderId="4" xfId="0" applyFont="1" applyFill="1" applyBorder="1" applyAlignment="1" applyProtection="1">
      <alignment horizontal="left" vertical="center" wrapText="1"/>
    </xf>
    <xf numFmtId="0" fontId="7" fillId="0" borderId="1" xfId="0" applyFont="1" applyBorder="1" applyProtection="1"/>
    <xf numFmtId="0" fontId="0" fillId="0" borderId="0" xfId="0" applyProtection="1">
      <protection locked="0"/>
    </xf>
    <xf numFmtId="0" fontId="46" fillId="0" borderId="0" xfId="0" applyFont="1" applyProtection="1">
      <protection locked="0"/>
    </xf>
    <xf numFmtId="14" fontId="0" fillId="0" borderId="0" xfId="0" applyNumberFormat="1" applyAlignment="1" applyProtection="1">
      <alignment horizontal="left"/>
    </xf>
    <xf numFmtId="49" fontId="37" fillId="2" borderId="17" xfId="0" applyNumberFormat="1" applyFont="1" applyFill="1" applyBorder="1" applyAlignment="1" applyProtection="1">
      <alignment horizontal="center" vertical="center"/>
    </xf>
    <xf numFmtId="43" fontId="37" fillId="2" borderId="14" xfId="1" applyFont="1" applyFill="1" applyBorder="1" applyAlignment="1" applyProtection="1">
      <alignment horizontal="center" vertical="center" shrinkToFit="1"/>
    </xf>
    <xf numFmtId="49" fontId="42" fillId="0" borderId="0" xfId="0" applyNumberFormat="1" applyFont="1" applyBorder="1" applyAlignment="1" applyProtection="1">
      <alignment horizontal="left" vertical="center"/>
      <protection locked="0"/>
    </xf>
    <xf numFmtId="49" fontId="22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center" vertical="center"/>
    </xf>
    <xf numFmtId="43" fontId="51" fillId="0" borderId="1" xfId="0" applyNumberFormat="1" applyFont="1" applyBorder="1"/>
    <xf numFmtId="0" fontId="7" fillId="2" borderId="4" xfId="0" applyFont="1" applyFill="1" applyBorder="1" applyAlignment="1">
      <alignment horizontal="left" vertical="center" wrapText="1"/>
    </xf>
    <xf numFmtId="0" fontId="0" fillId="0" borderId="1" xfId="0" applyBorder="1"/>
    <xf numFmtId="0" fontId="52" fillId="0" borderId="0" xfId="0" applyFont="1"/>
    <xf numFmtId="0" fontId="54" fillId="0" borderId="1" xfId="11" applyNumberFormat="1" applyFont="1" applyFill="1" applyBorder="1" applyAlignment="1">
      <alignment horizontal="center" vertical="center" wrapText="1"/>
    </xf>
    <xf numFmtId="0" fontId="54" fillId="0" borderId="1" xfId="11" applyFont="1" applyFill="1" applyBorder="1" applyAlignment="1">
      <alignment horizontal="center" vertical="center" wrapText="1"/>
    </xf>
    <xf numFmtId="0" fontId="55" fillId="0" borderId="1" xfId="11" applyNumberFormat="1" applyFont="1" applyFill="1" applyBorder="1" applyAlignment="1">
      <alignment horizontal="center" vertical="center" wrapText="1"/>
    </xf>
    <xf numFmtId="181" fontId="55" fillId="0" borderId="1" xfId="2" applyNumberFormat="1" applyFont="1" applyFill="1" applyBorder="1" applyAlignment="1">
      <alignment horizontal="left" vertical="center" wrapText="1"/>
    </xf>
    <xf numFmtId="181" fontId="56" fillId="0" borderId="1" xfId="2" applyNumberFormat="1" applyFont="1" applyFill="1" applyBorder="1" applyAlignment="1">
      <alignment horizontal="left" vertical="center" wrapText="1"/>
    </xf>
    <xf numFmtId="181" fontId="52" fillId="0" borderId="0" xfId="0" applyNumberFormat="1" applyFont="1"/>
    <xf numFmtId="0" fontId="50" fillId="0" borderId="0" xfId="0" applyFont="1"/>
    <xf numFmtId="0" fontId="58" fillId="2" borderId="1" xfId="0" applyFont="1" applyFill="1" applyBorder="1"/>
    <xf numFmtId="0" fontId="59" fillId="4" borderId="1" xfId="0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0" fontId="60" fillId="2" borderId="4" xfId="0" applyFont="1" applyFill="1" applyBorder="1" applyAlignment="1">
      <alignment horizontal="center"/>
    </xf>
    <xf numFmtId="0" fontId="60" fillId="2" borderId="4" xfId="0" applyFont="1" applyFill="1" applyBorder="1"/>
    <xf numFmtId="0" fontId="58" fillId="2" borderId="1" xfId="0" applyFont="1" applyFill="1" applyBorder="1" applyAlignment="1">
      <alignment horizontal="center" vertical="center"/>
    </xf>
    <xf numFmtId="43" fontId="58" fillId="2" borderId="1" xfId="1" applyFont="1" applyFill="1" applyBorder="1" applyAlignment="1">
      <alignment horizontal="center" vertical="center"/>
    </xf>
    <xf numFmtId="0" fontId="61" fillId="2" borderId="1" xfId="0" applyFont="1" applyFill="1" applyBorder="1" applyAlignment="1">
      <alignment horizontal="center" vertical="center"/>
    </xf>
    <xf numFmtId="0" fontId="62" fillId="2" borderId="4" xfId="0" applyFont="1" applyFill="1" applyBorder="1" applyAlignment="1">
      <alignment horizontal="left" vertical="center" wrapText="1"/>
    </xf>
    <xf numFmtId="43" fontId="51" fillId="7" borderId="1" xfId="0" applyNumberFormat="1" applyFont="1" applyFill="1" applyBorder="1"/>
    <xf numFmtId="0" fontId="51" fillId="0" borderId="1" xfId="0" applyFont="1" applyBorder="1"/>
    <xf numFmtId="0" fontId="22" fillId="0" borderId="1" xfId="0" applyFont="1" applyBorder="1" applyAlignment="1">
      <alignment vertical="center" wrapText="1"/>
    </xf>
    <xf numFmtId="0" fontId="51" fillId="7" borderId="1" xfId="0" applyFont="1" applyFill="1" applyBorder="1"/>
    <xf numFmtId="43" fontId="51" fillId="7" borderId="1" xfId="1" applyFont="1" applyFill="1" applyBorder="1" applyAlignment="1"/>
    <xf numFmtId="0" fontId="60" fillId="2" borderId="4" xfId="0" applyFont="1" applyFill="1" applyBorder="1" applyAlignment="1">
      <alignment horizontal="left" vertical="center"/>
    </xf>
    <xf numFmtId="0" fontId="58" fillId="2" borderId="1" xfId="0" applyFont="1" applyFill="1" applyBorder="1" applyAlignment="1">
      <alignment horizontal="center"/>
    </xf>
    <xf numFmtId="43" fontId="63" fillId="2" borderId="1" xfId="1" applyFont="1" applyFill="1" applyBorder="1" applyAlignment="1">
      <alignment horizontal="left"/>
    </xf>
    <xf numFmtId="43" fontId="58" fillId="2" borderId="1" xfId="1" applyFont="1" applyFill="1" applyBorder="1" applyAlignment="1">
      <alignment horizontal="center"/>
    </xf>
    <xf numFmtId="0" fontId="51" fillId="3" borderId="1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61" fillId="0" borderId="1" xfId="0" applyFont="1" applyBorder="1"/>
    <xf numFmtId="0" fontId="60" fillId="2" borderId="4" xfId="0" applyFont="1" applyFill="1" applyBorder="1" applyAlignment="1">
      <alignment horizontal="left" vertical="center" wrapText="1"/>
    </xf>
    <xf numFmtId="0" fontId="17" fillId="2" borderId="1" xfId="8" quotePrefix="1" applyNumberFormat="1" applyFont="1" applyFill="1" applyBorder="1" applyAlignment="1" applyProtection="1">
      <alignment horizontal="center" vertical="center"/>
    </xf>
    <xf numFmtId="0" fontId="10" fillId="2" borderId="1" xfId="8" quotePrefix="1" applyNumberFormat="1" applyFont="1" applyFill="1" applyBorder="1" applyAlignment="1" applyProtection="1">
      <alignment horizontal="center" vertical="center"/>
    </xf>
    <xf numFmtId="183" fontId="17" fillId="2" borderId="1" xfId="0" quotePrefix="1" applyNumberFormat="1" applyFont="1" applyFill="1" applyBorder="1" applyAlignment="1" applyProtection="1">
      <alignment horizontal="left" vertical="center"/>
    </xf>
    <xf numFmtId="183" fontId="10" fillId="2" borderId="1" xfId="0" quotePrefix="1" applyNumberFormat="1" applyFont="1" applyFill="1" applyBorder="1" applyAlignment="1" applyProtection="1">
      <alignment horizontal="left" vertical="center" indent="1"/>
    </xf>
    <xf numFmtId="43" fontId="7" fillId="0" borderId="1" xfId="1" applyFont="1" applyFill="1" applyBorder="1" applyAlignment="1">
      <alignment shrinkToFit="1"/>
    </xf>
    <xf numFmtId="4" fontId="10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57" fillId="2" borderId="4" xfId="0" applyFont="1" applyFill="1" applyBorder="1" applyAlignment="1">
      <alignment horizontal="center"/>
    </xf>
    <xf numFmtId="0" fontId="57" fillId="2" borderId="9" xfId="0" applyFont="1" applyFill="1" applyBorder="1" applyAlignment="1">
      <alignment horizontal="center"/>
    </xf>
    <xf numFmtId="0" fontId="57" fillId="2" borderId="1" xfId="0" applyFont="1" applyFill="1" applyBorder="1" applyAlignment="1">
      <alignment horizontal="center" wrapText="1"/>
    </xf>
    <xf numFmtId="0" fontId="50" fillId="0" borderId="1" xfId="0" applyFont="1" applyBorder="1" applyAlignment="1">
      <alignment horizontal="left" wrapText="1"/>
    </xf>
    <xf numFmtId="0" fontId="50" fillId="2" borderId="4" xfId="0" applyFont="1" applyFill="1" applyBorder="1" applyAlignment="1">
      <alignment horizontal="left" wrapText="1"/>
    </xf>
    <xf numFmtId="0" fontId="50" fillId="2" borderId="5" xfId="0" applyFont="1" applyFill="1" applyBorder="1" applyAlignment="1">
      <alignment horizontal="left" wrapText="1"/>
    </xf>
    <xf numFmtId="0" fontId="50" fillId="2" borderId="9" xfId="0" applyFont="1" applyFill="1" applyBorder="1" applyAlignment="1">
      <alignment horizontal="left" wrapText="1"/>
    </xf>
    <xf numFmtId="0" fontId="50" fillId="0" borderId="4" xfId="0" applyFont="1" applyBorder="1" applyAlignment="1">
      <alignment horizontal="left" wrapText="1"/>
    </xf>
    <xf numFmtId="0" fontId="50" fillId="0" borderId="5" xfId="0" applyFont="1" applyBorder="1" applyAlignment="1">
      <alignment horizontal="left" wrapText="1"/>
    </xf>
    <xf numFmtId="0" fontId="50" fillId="0" borderId="9" xfId="0" applyFont="1" applyBorder="1" applyAlignment="1">
      <alignment horizontal="left" wrapText="1"/>
    </xf>
    <xf numFmtId="0" fontId="50" fillId="2" borderId="1" xfId="0" applyFont="1" applyFill="1" applyBorder="1" applyAlignment="1">
      <alignment horizontal="left" wrapText="1"/>
    </xf>
    <xf numFmtId="0" fontId="57" fillId="0" borderId="1" xfId="0" applyFont="1" applyBorder="1" applyAlignment="1">
      <alignment horizontal="center"/>
    </xf>
    <xf numFmtId="0" fontId="60" fillId="2" borderId="1" xfId="0" applyFont="1" applyFill="1" applyBorder="1" applyAlignment="1">
      <alignment horizontal="center"/>
    </xf>
    <xf numFmtId="0" fontId="53" fillId="0" borderId="0" xfId="0" applyFont="1" applyFill="1" applyAlignment="1" applyProtection="1">
      <alignment horizontal="center"/>
    </xf>
    <xf numFmtId="49" fontId="40" fillId="0" borderId="0" xfId="2" applyNumberFormat="1" applyFont="1" applyBorder="1" applyAlignment="1" applyProtection="1">
      <alignment horizontal="center" vertical="center"/>
    </xf>
    <xf numFmtId="0" fontId="21" fillId="2" borderId="4" xfId="8" applyFont="1" applyFill="1" applyBorder="1" applyAlignment="1" applyProtection="1">
      <alignment horizontal="center" vertical="center"/>
    </xf>
    <xf numFmtId="0" fontId="21" fillId="2" borderId="9" xfId="8" applyFont="1" applyFill="1" applyBorder="1" applyAlignment="1" applyProtection="1">
      <alignment horizontal="center" vertical="center"/>
    </xf>
    <xf numFmtId="179" fontId="17" fillId="4" borderId="1" xfId="8" applyNumberFormat="1" applyFont="1" applyFill="1" applyBorder="1" applyAlignment="1" applyProtection="1">
      <alignment vertical="center" wrapText="1"/>
      <protection locked="0"/>
    </xf>
    <xf numFmtId="0" fontId="17" fillId="4" borderId="1" xfId="11" applyFont="1" applyFill="1" applyBorder="1" applyAlignment="1" applyProtection="1">
      <alignment vertical="center" wrapText="1"/>
      <protection locked="0"/>
    </xf>
    <xf numFmtId="179" fontId="17" fillId="2" borderId="1" xfId="8" applyNumberFormat="1" applyFont="1" applyFill="1" applyBorder="1" applyAlignment="1" applyProtection="1">
      <alignment vertical="center" wrapText="1"/>
    </xf>
    <xf numFmtId="0" fontId="17" fillId="2" borderId="1" xfId="11" applyFont="1" applyFill="1" applyBorder="1" applyAlignment="1" applyProtection="1">
      <alignment vertical="center" wrapText="1"/>
    </xf>
    <xf numFmtId="0" fontId="21" fillId="2" borderId="3" xfId="8" applyFont="1" applyFill="1" applyBorder="1" applyAlignment="1" applyProtection="1">
      <alignment horizontal="center" vertical="center"/>
    </xf>
    <xf numFmtId="0" fontId="21" fillId="2" borderId="6" xfId="8" applyFont="1" applyFill="1" applyBorder="1" applyAlignment="1" applyProtection="1">
      <alignment horizontal="center" vertical="center"/>
    </xf>
    <xf numFmtId="184" fontId="17" fillId="2" borderId="1" xfId="8" applyNumberFormat="1" applyFont="1" applyFill="1" applyBorder="1" applyAlignment="1" applyProtection="1">
      <alignment horizontal="center" vertical="center"/>
    </xf>
    <xf numFmtId="0" fontId="17" fillId="2" borderId="3" xfId="8" applyNumberFormat="1" applyFont="1" applyFill="1" applyBorder="1" applyAlignment="1" applyProtection="1">
      <alignment horizontal="center" vertical="center"/>
    </xf>
    <xf numFmtId="0" fontId="17" fillId="2" borderId="6" xfId="8" applyNumberFormat="1" applyFont="1" applyFill="1" applyBorder="1" applyAlignment="1" applyProtection="1">
      <alignment horizontal="center" vertical="center"/>
    </xf>
    <xf numFmtId="0" fontId="10" fillId="2" borderId="1" xfId="8" quotePrefix="1" applyNumberFormat="1" applyFont="1" applyFill="1" applyBorder="1" applyAlignment="1" applyProtection="1">
      <alignment horizontal="center" vertical="center"/>
    </xf>
    <xf numFmtId="0" fontId="10" fillId="2" borderId="1" xfId="8" applyNumberFormat="1" applyFont="1" applyFill="1" applyBorder="1" applyAlignment="1" applyProtection="1">
      <alignment horizontal="center" vertical="center"/>
    </xf>
    <xf numFmtId="179" fontId="21" fillId="0" borderId="4" xfId="8" applyNumberFormat="1" applyFont="1" applyFill="1" applyBorder="1" applyAlignment="1" applyProtection="1">
      <alignment horizontal="center" vertical="center" wrapText="1"/>
    </xf>
    <xf numFmtId="0" fontId="17" fillId="0" borderId="9" xfId="11" applyFont="1" applyFill="1" applyBorder="1" applyAlignment="1" applyProtection="1">
      <alignment horizontal="center" vertical="center" wrapText="1"/>
    </xf>
    <xf numFmtId="43" fontId="21" fillId="2" borderId="1" xfId="1" applyFont="1" applyFill="1" applyBorder="1" applyAlignment="1" applyProtection="1">
      <alignment horizontal="center" vertical="center"/>
    </xf>
    <xf numFmtId="43" fontId="17" fillId="2" borderId="1" xfId="1" applyFont="1" applyFill="1" applyBorder="1" applyAlignment="1" applyProtection="1">
      <alignment horizontal="center" vertical="center"/>
    </xf>
    <xf numFmtId="43" fontId="21" fillId="4" borderId="4" xfId="1" applyFont="1" applyFill="1" applyBorder="1" applyAlignment="1" applyProtection="1">
      <alignment horizontal="center" vertical="center"/>
      <protection locked="0"/>
    </xf>
    <xf numFmtId="43" fontId="17" fillId="4" borderId="5" xfId="1" applyFont="1" applyFill="1" applyBorder="1" applyAlignment="1" applyProtection="1">
      <alignment horizontal="center" vertical="center"/>
      <protection locked="0"/>
    </xf>
    <xf numFmtId="43" fontId="17" fillId="4" borderId="9" xfId="1" applyFont="1" applyFill="1" applyBorder="1" applyAlignment="1" applyProtection="1">
      <alignment horizontal="center" vertical="center"/>
      <protection locked="0"/>
    </xf>
    <xf numFmtId="43" fontId="17" fillId="4" borderId="1" xfId="1" applyFont="1" applyFill="1" applyBorder="1" applyAlignment="1" applyProtection="1">
      <alignment horizontal="center" vertical="center"/>
      <protection locked="0"/>
    </xf>
    <xf numFmtId="183" fontId="21" fillId="2" borderId="1" xfId="0" quotePrefix="1" applyNumberFormat="1" applyFont="1" applyFill="1" applyBorder="1" applyAlignment="1" applyProtection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</xf>
    <xf numFmtId="186" fontId="17" fillId="2" borderId="3" xfId="7" applyNumberFormat="1" applyFont="1" applyFill="1" applyBorder="1" applyAlignment="1" applyProtection="1">
      <alignment horizontal="center" vertical="center" wrapText="1"/>
    </xf>
    <xf numFmtId="186" fontId="17" fillId="2" borderId="6" xfId="7" applyNumberFormat="1" applyFont="1" applyFill="1" applyBorder="1" applyAlignment="1" applyProtection="1">
      <alignment horizontal="center" vertical="center" wrapText="1"/>
    </xf>
    <xf numFmtId="186" fontId="21" fillId="2" borderId="3" xfId="7" applyNumberFormat="1" applyFont="1" applyFill="1" applyBorder="1" applyAlignment="1" applyProtection="1">
      <alignment horizontal="center" vertical="center" wrapText="1"/>
    </xf>
    <xf numFmtId="0" fontId="21" fillId="2" borderId="4" xfId="11" applyFont="1" applyFill="1" applyBorder="1" applyAlignment="1" applyProtection="1">
      <alignment horizontal="center" vertical="center" wrapText="1"/>
    </xf>
    <xf numFmtId="0" fontId="21" fillId="2" borderId="5" xfId="11" applyFont="1" applyFill="1" applyBorder="1" applyAlignment="1" applyProtection="1">
      <alignment horizontal="center" vertical="center" wrapText="1"/>
    </xf>
    <xf numFmtId="0" fontId="21" fillId="2" borderId="9" xfId="11" applyFont="1" applyFill="1" applyBorder="1" applyAlignment="1" applyProtection="1">
      <alignment horizontal="center" vertical="center" wrapText="1"/>
    </xf>
    <xf numFmtId="186" fontId="21" fillId="2" borderId="10" xfId="7" applyNumberFormat="1" applyFont="1" applyFill="1" applyBorder="1" applyAlignment="1" applyProtection="1">
      <alignment horizontal="center" vertical="center" wrapText="1"/>
    </xf>
    <xf numFmtId="186" fontId="17" fillId="2" borderId="8" xfId="7" applyNumberFormat="1" applyFont="1" applyFill="1" applyBorder="1" applyAlignment="1" applyProtection="1">
      <alignment horizontal="center" vertical="center" wrapText="1"/>
    </xf>
    <xf numFmtId="186" fontId="17" fillId="2" borderId="11" xfId="7" applyNumberFormat="1" applyFont="1" applyFill="1" applyBorder="1" applyAlignment="1" applyProtection="1">
      <alignment horizontal="center" vertical="center" wrapText="1"/>
    </xf>
    <xf numFmtId="43" fontId="10" fillId="2" borderId="4" xfId="18" applyFont="1" applyFill="1" applyBorder="1" applyAlignment="1">
      <alignment horizontal="center" vertical="center" wrapText="1"/>
    </xf>
    <xf numFmtId="43" fontId="10" fillId="2" borderId="5" xfId="18" applyFont="1" applyFill="1" applyBorder="1" applyAlignment="1">
      <alignment horizontal="center" vertical="center" wrapText="1"/>
    </xf>
    <xf numFmtId="0" fontId="10" fillId="2" borderId="3" xfId="11" applyFont="1" applyFill="1" applyBorder="1" applyAlignment="1">
      <alignment horizontal="center" vertical="center" wrapText="1"/>
    </xf>
    <xf numFmtId="0" fontId="10" fillId="2" borderId="6" xfId="11" applyFont="1" applyFill="1" applyBorder="1" applyAlignment="1">
      <alignment horizontal="center" vertical="center" wrapText="1"/>
    </xf>
  </cellXfs>
  <cellStyles count="19">
    <cellStyle name="3232" xfId="10"/>
    <cellStyle name="Normal_Disclosure-location name-2001" xfId="3"/>
    <cellStyle name="百分比" xfId="4" builtinId="5"/>
    <cellStyle name="百分比 2" xfId="5"/>
    <cellStyle name="常规" xfId="0" builtinId="0"/>
    <cellStyle name="常规 2" xfId="11"/>
    <cellStyle name="常规 2 2" xfId="9"/>
    <cellStyle name="常规 3" xfId="12"/>
    <cellStyle name="常规_2007年长沙公司预算（核定稿20070319） (2)" xfId="7"/>
    <cellStyle name="常规_第二次－融科橄榄城项目现状及未来分析 (附表)" xfId="14"/>
    <cellStyle name="常规_可行性研究经济指标（试行）" xfId="8"/>
    <cellStyle name="超链接" xfId="2" builtinId="8"/>
    <cellStyle name="超链接 2" xfId="15"/>
    <cellStyle name="千位分隔" xfId="1" builtinId="3"/>
    <cellStyle name="千位分隔 10" xfId="6"/>
    <cellStyle name="千位分隔 2" xfId="16"/>
    <cellStyle name="千位分隔 2 2" xfId="13"/>
    <cellStyle name="千位分隔 2 3" xfId="17"/>
    <cellStyle name="千位分隔 3" xfId="18"/>
  </cellStyles>
  <dxfs count="0"/>
  <tableStyles count="0" defaultTableStyle="TableStyleMedium2" defaultPivotStyle="PivotStyleLight16"/>
  <colors>
    <mruColors>
      <color rgb="FFCCFFFF"/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250;&#35745;&#26680;&#31639;/&#34701;&#31185;&#26234;&#22320;&#27743;&#33487;&#21306;&#22495;&#24179;&#21488;&#36130;&#21153;&#25253;&#34920;2012.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164;&#37329;&#20013;&#24515;\&#39044;&#20915;&#31639;\2013&#24180;&#24230;&#39044;&#31639;&#25991;&#20214;\&#20462;&#25913;\&#23376;&#20844;&#21496;\&#9632;2013&#24180;&#39044;&#31639;&#27169;&#26495;&#65288;&#27743;&#33487;&#20844;&#21496;&#65289;20130312&#12304;&#25253;&#36865;&#31295;&#1230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jinquan/AppData/Roaming/Microsoft/Excel/Program%20Files/QQ2012/Users/417156629/FileRecv/PBC/10&#24180;/PBC08/My%20client/TZXP2005/2005Final/Checked%20PBC/&#21307;&#33647;&#20998;-check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jinquan/AppData/Roaming/Microsoft/Excel/Program%20Files/QQ2012/Users/417156629/FileRecv/PBC/10&#24180;/PBC08/WINDOWS/TEMP/notesEA312D/~623156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DE4DCEA\PBC%2006-CompanyName-(Complete%20Method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istrator\AppData\Roaming\Microsoft\Excel\Documents%20and%20Settings\Administrator\&#26700;&#38754;\to&#65293;&#20869;&#37096;&#25511;&#21046;&#32452;\&#20854;&#20182;&#25152;\&#22825;&#24314;\&#22269;&#36152;_2005_&#38543;&#2041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446;&#34122;&#24037;&#20316;&#36164;&#26009;\&#19996;&#26093;&#21271;&#26041;&#22320;&#20135;\2018&#24180;&#39044;&#31639;&#31649;&#29702;\&#39044;&#31639;&#27169;&#26495;-&#21271;&#26041;&#22320;&#20135;\03%20&#31119;&#24030;%20&#21271;&#26041;&#22320;&#20135;2018&#24180;&#24230;&#39044;&#31639;%20&#23450;&#312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说明"/>
      <sheetName val="抵消科目"/>
      <sheetName val="首页"/>
      <sheetName val="目录"/>
      <sheetName val="1.1 利润表"/>
      <sheetName val="1.2 资产负债表"/>
      <sheetName val="1.3 现金流量表"/>
      <sheetName val="1.4 所有者权益变动表"/>
      <sheetName val="1.5 资产减值准备情况表"/>
      <sheetName val="1.6.1 报表附注-1"/>
      <sheetName val="1.6.2 报表附注-2"/>
      <sheetName val="2.1 费用明细表"/>
      <sheetName val="2.2 开发成本明细表"/>
      <sheetName val="2.3 税费统计表"/>
      <sheetName val="3.1 内部及关联往来余额明细表"/>
      <sheetName val="3.2 内部及关联现流明细表"/>
      <sheetName val="3.3 内部及关联交易明细表"/>
      <sheetName val="3.4 资负、利润抵消分录"/>
      <sheetName val="3.5现金流量抵消分录"/>
      <sheetName val="报送流程"/>
      <sheetName val="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算目录"/>
      <sheetName val="1.1 区域资金预算"/>
      <sheetName val="1.2 项目资金预算-宜兴融科"/>
      <sheetName val="1.2 项目资金预算-无锡融科"/>
      <sheetName val="1.2 项目资金预算-江苏融科"/>
      <sheetName val="1.2 项目资金预算-锡东融科"/>
      <sheetName val="2.1 法人损益预算"/>
      <sheetName val="2.2 业务损益预算"/>
      <sheetName val="2.3 项目分期损益预算-宜兴汣玖城"/>
      <sheetName val="2.3 项目分期损益预算-无锡玖玖城"/>
      <sheetName val="2.3 项目分期损益预算-江苏玖瑞尚城"/>
      <sheetName val="2.3 项目分期损益预算-锡东玖御半岛"/>
      <sheetName val="1.3 销售预测"/>
      <sheetName val="1.4 区域贷款预算"/>
      <sheetName val="3 资产负债预算"/>
      <sheetName val="4 费用预算"/>
      <sheetName val="1.4 开发成本明细表"/>
      <sheetName val="1.4 开发成本明细表-续"/>
      <sheetName val="91A一期目标成本"/>
      <sheetName val="57A销售"/>
      <sheetName val="69A销售"/>
      <sheetName val="91B销售"/>
      <sheetName val="91A一期销售"/>
      <sheetName val="13年销售目标及费用预计-投资"/>
      <sheetName val="合计"/>
      <sheetName val="无锡"/>
      <sheetName val="江苏"/>
      <sheetName val="锡东"/>
      <sheetName val="57A"/>
      <sheetName val="69A"/>
      <sheetName val="91B"/>
      <sheetName val="YX合计"/>
      <sheetName val="YX销售费用"/>
      <sheetName val="YX管理费用"/>
      <sheetName val="YX财务费用"/>
      <sheetName val="YX开发间接费"/>
      <sheetName val="WX合计"/>
      <sheetName val="WX销售费用"/>
      <sheetName val="WX管理费用"/>
      <sheetName val="WX财务费用"/>
      <sheetName val="WX开发间接费"/>
      <sheetName val="XD合计"/>
      <sheetName val="XD销售费用"/>
      <sheetName val="XD管理费用"/>
      <sheetName val="XD财务费用"/>
      <sheetName val="XD开发间接费"/>
      <sheetName val="JS合计"/>
      <sheetName val="JS销售费用"/>
      <sheetName val="JS管理费用"/>
      <sheetName val="JS财务费用"/>
      <sheetName val="JS开发间接费"/>
      <sheetName val="历年累计"/>
      <sheetName val="2009年"/>
      <sheetName val="2010年"/>
      <sheetName val="2011年"/>
      <sheetName val="2012年"/>
      <sheetName val="5 税金预算"/>
      <sheetName val="6 人员编制计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说明"/>
      <sheetName val="目录"/>
      <sheetName val="1.财务报表"/>
      <sheetName val="2-1.货币资金总表"/>
      <sheetName val="2-2.库存现金"/>
      <sheetName val="2-3.银行存款"/>
      <sheetName val="3.应收票据"/>
      <sheetName val="4-1.应收帐款总表"/>
      <sheetName val="4-2.应收帐款明细"/>
      <sheetName val="★应收帐款明细自加"/>
      <sheetName val="5-1.其它应收款总表"/>
      <sheetName val="5-2.其他应收款明细"/>
      <sheetName val="6.预付帐款"/>
      <sheetName val="7-1.存货总表"/>
      <sheetName val="7-2.存货明细"/>
      <sheetName val="7-3.存货跌价准备"/>
      <sheetName val="7-4.存货帐实调节"/>
      <sheetName val="8.待摊费用"/>
      <sheetName val="9-1.固定资产"/>
      <sheetName val="9-2.固定资产增加及减少明细"/>
      <sheetName val="10.在建工程"/>
      <sheetName val="11.无形资产"/>
      <sheetName val="12.长期待摊费用"/>
      <sheetName val="13-1.短期借款"/>
      <sheetName val="13-2.长期借款"/>
      <sheetName val="14.预收帐款"/>
      <sheetName val="15.应付票据"/>
      <sheetName val="16.应付帐款"/>
      <sheetName val="★应付明细自加"/>
      <sheetName val="17.其它应付款"/>
      <sheetName val="18.预提费用"/>
      <sheetName val="19.应付股利"/>
      <sheetName val="20.应交税金"/>
      <sheetName val="21.应付工资及福利费"/>
      <sheetName val="22.长期应付款及其它"/>
      <sheetName val="23.注册资本变动"/>
      <sheetName val="24.股本"/>
      <sheetName val="25.公积金及未分配利润"/>
      <sheetName val="26.损益表项目"/>
      <sheetName val="27.毛利率"/>
      <sheetName val="28.销售成本调节表"/>
      <sheetName val="30.内部销售"/>
      <sheetName val="29.长期投资"/>
      <sheetName val="31.内部往来"/>
      <sheetName val="★对帐明细"/>
      <sheetName val="32.关联方往来余额"/>
      <sheetName val="33.关联方交易"/>
      <sheetName val="34.营业费用"/>
      <sheetName val="35.新加坡关联方"/>
      <sheetName val="32.新加坡准则"/>
      <sheetName val="33.现金流量表"/>
      <sheetName val="34.承诺事项"/>
      <sheetName val="35.或有负债及期后事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索引"/>
      <sheetName val="银行存款"/>
      <sheetName val="其他应收款帐龄分析"/>
      <sheetName val="存货"/>
      <sheetName val="短期借款"/>
      <sheetName val="应付帐款"/>
      <sheetName val="预收账款"/>
      <sheetName val="未交税金"/>
      <sheetName val="增值税"/>
      <sheetName val="其他应付款"/>
      <sheetName val="应付工资"/>
      <sheetName val="应付福利费"/>
      <sheetName val="预提费用"/>
      <sheetName val="所有者权益"/>
      <sheetName val="销售收入"/>
      <sheetName val="销售成本调节表"/>
      <sheetName val="财务费用"/>
      <sheetName val="管理费用"/>
      <sheetName val="销售费用"/>
      <sheetName val="或有负债"/>
      <sheetName val="关联方余额"/>
      <sheetName val="关联交易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现问题汇总"/>
      <sheetName val="Control List"/>
      <sheetName val="Name list"/>
      <sheetName val="checklist"/>
      <sheetName val="各公司国际会计准则下报表"/>
      <sheetName val="POA"/>
      <sheetName val="IFRS"/>
      <sheetName val="A-1货币资金明细表"/>
      <sheetName val="PwC"/>
      <sheetName val="RP A-1货币资金汇总表(不用填写)"/>
      <sheetName val="A-2-1内部往来明细"/>
      <sheetName val="A-2-3 应收应付关联方明细"/>
      <sheetName val="RP A-2-3 应收应付关联方汇总表(不用填写)"/>
      <sheetName val="A-3 应收帐款明细表"/>
      <sheetName val="RP A-3应收帐款汇总表(不用填写) "/>
      <sheetName val="A-4 预付帐款明细表"/>
      <sheetName val="A-5其他应收款明细表"/>
      <sheetName val="A-6-1 POC计算表"/>
      <sheetName val="A-6-2 POC调整分录"/>
      <sheetName val="A-6-4 存货预提调整分录"/>
      <sheetName val="A-6-5 存货明细表"/>
      <sheetName val="RP A-6 存货汇总表(不用填写)"/>
      <sheetName val="A-7 待摊费用明细表"/>
      <sheetName val="A-8 长期投资明细表"/>
      <sheetName val="A-9 固定资产变动表"/>
      <sheetName val="A-10 其他长期资产明细表"/>
      <sheetName val="L-1 短期借款明细表"/>
      <sheetName val="RP L-1 短期借款(不用填写)"/>
      <sheetName val="L-2 长期借款明细表"/>
      <sheetName val="RP L-2 长期借款(不用填写)"/>
      <sheetName val="L-3 应付帐款"/>
      <sheetName val="L-4 其他应付款明细表"/>
      <sheetName val="L-5 应交税金"/>
      <sheetName val="L-6 其它流动负债科目"/>
      <sheetName val="L-7 工资福利费"/>
      <sheetName val="L-8 资本承担"/>
      <sheetName val="C-1 所有者权益"/>
      <sheetName val="PL-1 收入成本明细表"/>
      <sheetName val="PL-2 其它业务利润"/>
      <sheetName val="PL-3 销售及管理费用明细表"/>
      <sheetName val="RP PL-3 经营溢利（不用填写）"/>
      <sheetName val="PL-4 财务费用明细表"/>
      <sheetName val="RP PL-4 财务费用"/>
      <sheetName val="PL-5 利息资本化计算表"/>
      <sheetName val="RP PL-6 所得税费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索引"/>
      <sheetName val="货币资金Cx"/>
      <sheetName val="货币资金Mx"/>
      <sheetName val="分录"/>
      <sheetName val="标本-资产"/>
      <sheetName val="YS02-02"/>
      <sheetName val="报表格式"/>
      <sheetName val="科目名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预算目录"/>
      <sheetName val=" 1 区域公司2018年度经营指标"/>
      <sheetName val="2.1 区域资金预算(自动计算)"/>
      <sheetName val="2.2 项目资金预算-平台(如有)"/>
      <sheetName val="2.2 项目资金预算-项目1"/>
      <sheetName val="2.2 项目资金预算-项目2"/>
      <sheetName val="2.3 销售预测"/>
      <sheetName val="2.4 开发计划"/>
      <sheetName val="2.5 投资计划明细表"/>
      <sheetName val="2.6 融资计划明细表"/>
      <sheetName val="2.7 地产投资拓展明细表"/>
      <sheetName val="3.1 会计利润预算"/>
      <sheetName val="3.1.1 收入成本(按产品)"/>
      <sheetName val="3.2 管理利润预算(自动计算)"/>
      <sheetName val="3.3 项目管理利润预算-平台公司(如有)"/>
      <sheetName val="3.3 项目管理利润预算-项目1"/>
      <sheetName val="3.3 项目管理利润预算-项目2"/>
      <sheetName val="4 总体费用(自动计算)"/>
      <sheetName val="4.1 销售费用"/>
      <sheetName val="4.2 管理费用"/>
      <sheetName val="4.3 财务费用"/>
      <sheetName val="4.4 开发间接费"/>
      <sheetName val="5 税金预算"/>
      <sheetName val="6 人员编制计划"/>
      <sheetName val="资金占用费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8"/>
  <sheetViews>
    <sheetView view="pageBreakPreview" zoomScaleNormal="100" zoomScaleSheetLayoutView="100" workbookViewId="0">
      <selection activeCell="D4" sqref="D4"/>
    </sheetView>
  </sheetViews>
  <sheetFormatPr defaultColWidth="9" defaultRowHeight="14.25" outlineLevelRow="1"/>
  <cols>
    <col min="1" max="1" width="3.875" customWidth="1"/>
    <col min="2" max="2" width="54" customWidth="1"/>
    <col min="3" max="3" width="24.25" customWidth="1"/>
    <col min="4" max="4" width="21" customWidth="1"/>
    <col min="5" max="5" width="20.375" customWidth="1"/>
    <col min="6" max="6" width="13.125" hidden="1" customWidth="1"/>
  </cols>
  <sheetData>
    <row r="1" spans="2:6" ht="17.100000000000001" customHeight="1">
      <c r="B1" s="374" t="s">
        <v>0</v>
      </c>
      <c r="C1" s="375"/>
      <c r="D1" s="345"/>
      <c r="E1" s="345"/>
    </row>
    <row r="2" spans="2:6" ht="17.100000000000001" customHeight="1">
      <c r="B2" s="346" t="s">
        <v>1</v>
      </c>
      <c r="C2" s="347" t="s">
        <v>2</v>
      </c>
      <c r="D2" s="345"/>
      <c r="E2" s="345"/>
    </row>
    <row r="3" spans="2:6" ht="17.100000000000001" customHeight="1">
      <c r="B3" s="346" t="s">
        <v>3</v>
      </c>
      <c r="C3" s="348" t="s">
        <v>63</v>
      </c>
      <c r="D3" s="345"/>
      <c r="E3" s="345"/>
      <c r="F3" t="s">
        <v>5</v>
      </c>
    </row>
    <row r="4" spans="2:6" ht="17.100000000000001" customHeight="1">
      <c r="B4" s="346" t="s">
        <v>6</v>
      </c>
      <c r="C4" s="347" t="s">
        <v>7</v>
      </c>
      <c r="D4" s="345"/>
      <c r="E4" s="345"/>
      <c r="F4" t="s">
        <v>8</v>
      </c>
    </row>
    <row r="5" spans="2:6">
      <c r="B5" s="345"/>
      <c r="C5" s="345"/>
      <c r="D5" s="345"/>
      <c r="E5" s="345"/>
      <c r="F5" t="s">
        <v>9</v>
      </c>
    </row>
    <row r="6" spans="2:6" ht="18">
      <c r="B6" s="376" t="s">
        <v>10</v>
      </c>
      <c r="C6" s="376"/>
      <c r="D6" s="376"/>
      <c r="E6" s="376"/>
      <c r="F6" t="s">
        <v>11</v>
      </c>
    </row>
    <row r="7" spans="2:6" ht="17.45" customHeight="1">
      <c r="B7" s="377" t="s">
        <v>12</v>
      </c>
      <c r="C7" s="377"/>
      <c r="D7" s="377"/>
      <c r="E7" s="377"/>
      <c r="F7" t="s">
        <v>13</v>
      </c>
    </row>
    <row r="8" spans="2:6" ht="17.45" customHeight="1">
      <c r="B8" s="378" t="s">
        <v>14</v>
      </c>
      <c r="C8" s="379"/>
      <c r="D8" s="379"/>
      <c r="E8" s="380"/>
      <c r="F8" t="s">
        <v>15</v>
      </c>
    </row>
    <row r="9" spans="2:6" ht="17.45" customHeight="1">
      <c r="B9" s="381" t="s">
        <v>16</v>
      </c>
      <c r="C9" s="382"/>
      <c r="D9" s="382"/>
      <c r="E9" s="383"/>
      <c r="F9" t="s">
        <v>17</v>
      </c>
    </row>
    <row r="10" spans="2:6" ht="17.45" customHeight="1">
      <c r="B10" s="378" t="s">
        <v>18</v>
      </c>
      <c r="C10" s="379"/>
      <c r="D10" s="379"/>
      <c r="E10" s="380"/>
      <c r="F10" t="s">
        <v>19</v>
      </c>
    </row>
    <row r="11" spans="2:6" ht="28.5" customHeight="1">
      <c r="B11" s="381" t="s">
        <v>20</v>
      </c>
      <c r="C11" s="382"/>
      <c r="D11" s="382"/>
      <c r="E11" s="383"/>
      <c r="F11" t="s">
        <v>21</v>
      </c>
    </row>
    <row r="12" spans="2:6" ht="17.45" customHeight="1">
      <c r="B12" s="384" t="s">
        <v>22</v>
      </c>
      <c r="C12" s="384"/>
      <c r="D12" s="384"/>
      <c r="E12" s="384"/>
      <c r="F12" t="s">
        <v>23</v>
      </c>
    </row>
    <row r="13" spans="2:6">
      <c r="B13" s="345"/>
      <c r="C13" s="345"/>
      <c r="D13" s="345"/>
      <c r="E13" s="345"/>
      <c r="F13" t="s">
        <v>4</v>
      </c>
    </row>
    <row r="14" spans="2:6" ht="18">
      <c r="B14" s="385" t="s">
        <v>24</v>
      </c>
      <c r="C14" s="385"/>
      <c r="D14" s="385"/>
      <c r="E14" s="385"/>
      <c r="F14" t="s">
        <v>25</v>
      </c>
    </row>
    <row r="15" spans="2:6" ht="15">
      <c r="B15" s="349" t="s">
        <v>26</v>
      </c>
      <c r="C15" s="386" t="s">
        <v>27</v>
      </c>
      <c r="D15" s="386"/>
      <c r="E15" s="386"/>
      <c r="F15" t="s">
        <v>28</v>
      </c>
    </row>
    <row r="16" spans="2:6" s="54" customFormat="1" ht="15">
      <c r="B16" s="350" t="s">
        <v>29</v>
      </c>
      <c r="C16" s="351" t="s">
        <v>30</v>
      </c>
      <c r="D16" s="352" t="s">
        <v>31</v>
      </c>
      <c r="E16" s="353" t="s">
        <v>32</v>
      </c>
      <c r="F16" s="54" t="s">
        <v>33</v>
      </c>
    </row>
    <row r="17" spans="2:6">
      <c r="B17" s="354" t="s">
        <v>34</v>
      </c>
      <c r="C17" s="355">
        <f>'1 资产负债表'!B79</f>
        <v>0</v>
      </c>
      <c r="D17" s="355">
        <f>'1 资产负债表'!C79</f>
        <v>0</v>
      </c>
      <c r="E17" s="356"/>
      <c r="F17" t="s">
        <v>35</v>
      </c>
    </row>
    <row r="18" spans="2:6">
      <c r="B18" s="354" t="s">
        <v>36</v>
      </c>
      <c r="C18" s="355">
        <f>'1 资产负债表'!B80</f>
        <v>0</v>
      </c>
      <c r="D18" s="355">
        <f>'1 资产负债表'!C80</f>
        <v>0</v>
      </c>
      <c r="E18" s="356"/>
      <c r="F18" t="s">
        <v>37</v>
      </c>
    </row>
    <row r="19" spans="2:6">
      <c r="B19" s="354" t="s">
        <v>38</v>
      </c>
      <c r="C19" s="355">
        <f>'1 资产负债表'!B81</f>
        <v>0</v>
      </c>
      <c r="D19" s="355">
        <f>'1 资产负债表'!C81</f>
        <v>0</v>
      </c>
      <c r="E19" s="356"/>
      <c r="F19" t="s">
        <v>39</v>
      </c>
    </row>
    <row r="20" spans="2:6">
      <c r="B20" s="354" t="s">
        <v>40</v>
      </c>
      <c r="C20" s="355">
        <f>'1 资产负债表'!B82</f>
        <v>0</v>
      </c>
      <c r="D20" s="355">
        <f>'1 资产负债表'!C82</f>
        <v>0</v>
      </c>
      <c r="E20" s="356"/>
      <c r="F20" t="s">
        <v>41</v>
      </c>
    </row>
    <row r="21" spans="2:6">
      <c r="B21" s="354" t="s">
        <v>42</v>
      </c>
      <c r="C21" s="355">
        <f>'1 资产负债表'!B83</f>
        <v>0</v>
      </c>
      <c r="D21" s="355">
        <f>'1 资产负债表'!C83</f>
        <v>0</v>
      </c>
      <c r="E21" s="356"/>
      <c r="F21" t="s">
        <v>43</v>
      </c>
    </row>
    <row r="22" spans="2:6">
      <c r="B22" s="354" t="s">
        <v>44</v>
      </c>
      <c r="C22" s="355">
        <f>'1 资产负债表'!B84</f>
        <v>0</v>
      </c>
      <c r="D22" s="355">
        <f>'1 资产负债表'!C84</f>
        <v>0</v>
      </c>
      <c r="E22" s="356"/>
      <c r="F22" t="s">
        <v>45</v>
      </c>
    </row>
    <row r="23" spans="2:6">
      <c r="B23" s="354" t="s">
        <v>46</v>
      </c>
      <c r="C23" s="355">
        <f>'1 资产负债表'!B85</f>
        <v>0</v>
      </c>
      <c r="D23" s="355">
        <f>'1 资产负债表'!C85</f>
        <v>0</v>
      </c>
      <c r="E23" s="356"/>
      <c r="F23" t="s">
        <v>47</v>
      </c>
    </row>
    <row r="24" spans="2:6">
      <c r="B24" s="354" t="s">
        <v>48</v>
      </c>
      <c r="C24" s="355">
        <f>'1 资产负债表'!B86</f>
        <v>0</v>
      </c>
      <c r="D24" s="355">
        <f>'1 资产负债表'!C86</f>
        <v>0</v>
      </c>
      <c r="E24" s="356"/>
      <c r="F24" t="s">
        <v>49</v>
      </c>
    </row>
    <row r="25" spans="2:6">
      <c r="B25" s="354" t="s">
        <v>50</v>
      </c>
      <c r="C25" s="355">
        <f>'1 资产负债表'!B87</f>
        <v>0</v>
      </c>
      <c r="D25" s="355">
        <f>'1 资产负债表'!C87</f>
        <v>0</v>
      </c>
      <c r="E25" s="356"/>
      <c r="F25" t="s">
        <v>51</v>
      </c>
    </row>
    <row r="26" spans="2:6">
      <c r="B26" s="354" t="s">
        <v>52</v>
      </c>
      <c r="C26" s="355">
        <f>'1 资产负债表'!B88</f>
        <v>0</v>
      </c>
      <c r="D26" s="355">
        <f>'1 资产负债表'!C88</f>
        <v>0</v>
      </c>
      <c r="E26" s="356"/>
      <c r="F26" t="s">
        <v>53</v>
      </c>
    </row>
    <row r="27" spans="2:6">
      <c r="B27" s="354" t="s">
        <v>54</v>
      </c>
      <c r="C27" s="355">
        <f>'1 资产负债表'!B89</f>
        <v>0</v>
      </c>
      <c r="D27" s="355">
        <f>'1 资产负债表'!C89</f>
        <v>0</v>
      </c>
      <c r="E27" s="356"/>
      <c r="F27" t="s">
        <v>55</v>
      </c>
    </row>
    <row r="28" spans="2:6" ht="25.5">
      <c r="B28" s="354" t="s">
        <v>56</v>
      </c>
      <c r="C28" s="355">
        <f>'1 资产负债表'!B90</f>
        <v>0</v>
      </c>
      <c r="D28" s="355">
        <f>'1 资产负债表'!C90</f>
        <v>0</v>
      </c>
      <c r="E28" s="357" t="s">
        <v>57</v>
      </c>
      <c r="F28" t="s">
        <v>58</v>
      </c>
    </row>
    <row r="29" spans="2:6" ht="24.75">
      <c r="B29" s="354" t="s">
        <v>59</v>
      </c>
      <c r="C29" s="355">
        <f>'1 资产负债表'!B91</f>
        <v>0</v>
      </c>
      <c r="D29" s="355">
        <f>'1 资产负债表'!C91</f>
        <v>0</v>
      </c>
      <c r="E29" s="357" t="s">
        <v>57</v>
      </c>
      <c r="F29" t="s">
        <v>60</v>
      </c>
    </row>
    <row r="30" spans="2:6">
      <c r="B30" s="354" t="s">
        <v>61</v>
      </c>
      <c r="C30" s="355">
        <f>'1 资产负债表'!B92</f>
        <v>0</v>
      </c>
      <c r="D30" s="355"/>
      <c r="E30" s="357"/>
      <c r="F30" t="s">
        <v>62</v>
      </c>
    </row>
    <row r="31" spans="2:6">
      <c r="B31" s="354"/>
      <c r="C31" s="358"/>
      <c r="D31" s="359"/>
      <c r="E31" s="356"/>
      <c r="F31" t="s">
        <v>63</v>
      </c>
    </row>
    <row r="32" spans="2:6" s="54" customFormat="1" ht="15">
      <c r="B32" s="360" t="s">
        <v>64</v>
      </c>
      <c r="C32" s="361" t="s">
        <v>65</v>
      </c>
      <c r="D32" s="362" t="s">
        <v>66</v>
      </c>
      <c r="E32" s="346"/>
      <c r="F32" s="54" t="s">
        <v>67</v>
      </c>
    </row>
    <row r="33" spans="2:6">
      <c r="B33" s="354" t="s">
        <v>68</v>
      </c>
      <c r="C33" s="355">
        <f>'2 利润表'!E63</f>
        <v>0</v>
      </c>
      <c r="D33" s="359"/>
      <c r="E33" s="356"/>
      <c r="F33" t="s">
        <v>69</v>
      </c>
    </row>
    <row r="34" spans="2:6">
      <c r="B34" s="354" t="s">
        <v>70</v>
      </c>
      <c r="C34" s="355">
        <f>'2 利润表'!E64</f>
        <v>0</v>
      </c>
      <c r="D34" s="359"/>
      <c r="E34" s="356"/>
      <c r="F34" t="s">
        <v>71</v>
      </c>
    </row>
    <row r="35" spans="2:6">
      <c r="B35" s="354" t="s">
        <v>72</v>
      </c>
      <c r="C35" s="355">
        <f>'2 利润表'!E65</f>
        <v>0</v>
      </c>
      <c r="D35" s="359"/>
      <c r="E35" s="356"/>
      <c r="F35" t="s">
        <v>73</v>
      </c>
    </row>
    <row r="36" spans="2:6">
      <c r="B36" s="354" t="s">
        <v>74</v>
      </c>
      <c r="C36" s="355">
        <f>'2 利润表'!E66</f>
        <v>0</v>
      </c>
      <c r="D36" s="359"/>
      <c r="E36" s="356"/>
      <c r="F36" t="s">
        <v>75</v>
      </c>
    </row>
    <row r="37" spans="2:6" ht="25.5">
      <c r="B37" s="354" t="s">
        <v>76</v>
      </c>
      <c r="C37" s="355">
        <f>'2 利润表'!E67</f>
        <v>0</v>
      </c>
      <c r="D37" s="359"/>
      <c r="E37" s="356"/>
      <c r="F37" t="s">
        <v>77</v>
      </c>
    </row>
    <row r="38" spans="2:6">
      <c r="B38" s="354" t="s">
        <v>78</v>
      </c>
      <c r="C38" s="355">
        <f>'2 利润表'!E68</f>
        <v>0</v>
      </c>
      <c r="D38" s="359"/>
      <c r="E38" s="356"/>
      <c r="F38" t="s">
        <v>79</v>
      </c>
    </row>
    <row r="39" spans="2:6">
      <c r="B39" s="354" t="s">
        <v>80</v>
      </c>
      <c r="C39" s="355">
        <f>'2 利润表'!E69</f>
        <v>0</v>
      </c>
      <c r="D39" s="359"/>
      <c r="E39" s="356"/>
      <c r="F39" t="s">
        <v>81</v>
      </c>
    </row>
    <row r="40" spans="2:6">
      <c r="B40" s="354" t="s">
        <v>82</v>
      </c>
      <c r="C40" s="355">
        <f>'2 利润表'!E70</f>
        <v>0</v>
      </c>
      <c r="D40" s="359"/>
      <c r="E40" s="356"/>
      <c r="F40" t="s">
        <v>83</v>
      </c>
    </row>
    <row r="41" spans="2:6">
      <c r="B41" s="354" t="s">
        <v>84</v>
      </c>
      <c r="C41" s="355">
        <f>'2 利润表'!E71</f>
        <v>0</v>
      </c>
      <c r="D41" s="359"/>
      <c r="E41" s="356"/>
      <c r="F41" t="s">
        <v>85</v>
      </c>
    </row>
    <row r="42" spans="2:6" ht="24.75">
      <c r="B42" s="354" t="s">
        <v>86</v>
      </c>
      <c r="C42" s="355">
        <f>'2 利润表'!E72</f>
        <v>0</v>
      </c>
      <c r="D42" s="359"/>
      <c r="E42" s="356"/>
      <c r="F42" t="s">
        <v>87</v>
      </c>
    </row>
    <row r="43" spans="2:6">
      <c r="B43" s="354" t="s">
        <v>88</v>
      </c>
      <c r="C43" s="355">
        <f>'2 利润表'!E73</f>
        <v>0</v>
      </c>
      <c r="D43" s="359"/>
      <c r="E43" s="356"/>
      <c r="F43" t="s">
        <v>89</v>
      </c>
    </row>
    <row r="44" spans="2:6">
      <c r="B44" s="354" t="s">
        <v>90</v>
      </c>
      <c r="C44" s="355">
        <f>'2 利润表'!E74</f>
        <v>0</v>
      </c>
      <c r="D44" s="359"/>
      <c r="E44" s="356"/>
    </row>
    <row r="45" spans="2:6">
      <c r="B45" s="354" t="s">
        <v>91</v>
      </c>
      <c r="C45" s="355">
        <f>'2 利润表'!E75</f>
        <v>0</v>
      </c>
      <c r="D45" s="359"/>
      <c r="E45" s="356"/>
    </row>
    <row r="46" spans="2:6">
      <c r="B46" s="354" t="s">
        <v>92</v>
      </c>
      <c r="C46" s="355">
        <f>'2 利润表'!E76</f>
        <v>0</v>
      </c>
      <c r="D46" s="359"/>
      <c r="E46" s="356"/>
    </row>
    <row r="47" spans="2:6">
      <c r="B47" s="354"/>
      <c r="C47" s="358"/>
      <c r="D47" s="359"/>
      <c r="E47" s="356"/>
    </row>
    <row r="48" spans="2:6" s="54" customFormat="1" ht="15">
      <c r="B48" s="360" t="s">
        <v>93</v>
      </c>
      <c r="C48" s="363" t="s">
        <v>65</v>
      </c>
      <c r="D48" s="362" t="s">
        <v>66</v>
      </c>
      <c r="E48" s="346"/>
    </row>
    <row r="49" spans="2:5">
      <c r="B49" s="354" t="s">
        <v>94</v>
      </c>
      <c r="C49" s="355">
        <f>'3 现金流量表'!E94</f>
        <v>0</v>
      </c>
      <c r="D49" s="359"/>
      <c r="E49" s="356"/>
    </row>
    <row r="50" spans="2:5">
      <c r="B50" s="354" t="s">
        <v>95</v>
      </c>
      <c r="C50" s="355">
        <f>'3 现金流量表'!E95</f>
        <v>0</v>
      </c>
      <c r="D50" s="359"/>
      <c r="E50" s="356"/>
    </row>
    <row r="51" spans="2:5">
      <c r="B51" s="354" t="s">
        <v>96</v>
      </c>
      <c r="C51" s="355">
        <f>'3 现金流量表'!E96</f>
        <v>0</v>
      </c>
      <c r="D51" s="359"/>
      <c r="E51" s="356"/>
    </row>
    <row r="52" spans="2:5">
      <c r="B52" s="354" t="s">
        <v>97</v>
      </c>
      <c r="C52" s="355">
        <f>'3 现金流量表'!E97</f>
        <v>0</v>
      </c>
      <c r="D52" s="359"/>
      <c r="E52" s="356"/>
    </row>
    <row r="53" spans="2:5">
      <c r="B53" s="354" t="s">
        <v>98</v>
      </c>
      <c r="C53" s="355">
        <f>'3 现金流量表'!E98</f>
        <v>0</v>
      </c>
      <c r="D53" s="359"/>
      <c r="E53" s="356"/>
    </row>
    <row r="54" spans="2:5">
      <c r="B54" s="354" t="s">
        <v>99</v>
      </c>
      <c r="C54" s="355">
        <f>'3 现金流量表'!E99</f>
        <v>0</v>
      </c>
      <c r="D54" s="359"/>
      <c r="E54" s="364"/>
    </row>
    <row r="55" spans="2:5">
      <c r="B55" s="354" t="s">
        <v>100</v>
      </c>
      <c r="C55" s="355">
        <f>'3 现金流量表'!E100</f>
        <v>0</v>
      </c>
      <c r="D55" s="359"/>
      <c r="E55" s="356"/>
    </row>
    <row r="56" spans="2:5">
      <c r="B56" s="354" t="s">
        <v>101</v>
      </c>
      <c r="C56" s="355">
        <f>'3 现金流量表'!E101</f>
        <v>0</v>
      </c>
      <c r="D56" s="359"/>
      <c r="E56" s="356"/>
    </row>
    <row r="57" spans="2:5">
      <c r="B57" s="354" t="s">
        <v>102</v>
      </c>
      <c r="C57" s="355">
        <f>'3 现金流量表'!E102</f>
        <v>0</v>
      </c>
      <c r="D57" s="359"/>
      <c r="E57" s="357"/>
    </row>
    <row r="58" spans="2:5">
      <c r="B58" s="354" t="s">
        <v>103</v>
      </c>
      <c r="C58" s="355">
        <f>'3 现金流量表'!E103</f>
        <v>0</v>
      </c>
      <c r="D58" s="359"/>
      <c r="E58" s="357"/>
    </row>
    <row r="59" spans="2:5">
      <c r="B59" s="354" t="s">
        <v>104</v>
      </c>
      <c r="C59" s="355">
        <f>'3 现金流量表'!E104</f>
        <v>0</v>
      </c>
      <c r="D59" s="359"/>
      <c r="E59" s="357"/>
    </row>
    <row r="60" spans="2:5" ht="24">
      <c r="B60" s="365" t="s">
        <v>105</v>
      </c>
      <c r="C60" s="355">
        <f>'3 现金流量表'!E105</f>
        <v>0</v>
      </c>
      <c r="D60" s="359"/>
      <c r="E60" s="357"/>
    </row>
    <row r="61" spans="2:5">
      <c r="B61" s="365" t="s">
        <v>106</v>
      </c>
      <c r="C61" s="355">
        <f>'3 现金流量表'!E106</f>
        <v>0</v>
      </c>
      <c r="D61" s="359"/>
      <c r="E61" s="357"/>
    </row>
    <row r="62" spans="2:5">
      <c r="B62" s="365" t="s">
        <v>107</v>
      </c>
      <c r="C62" s="355">
        <f>'3 现金流量表'!E107</f>
        <v>0</v>
      </c>
      <c r="D62" s="359"/>
      <c r="E62" s="357" t="s">
        <v>108</v>
      </c>
    </row>
    <row r="63" spans="2:5">
      <c r="B63" s="365" t="s">
        <v>109</v>
      </c>
      <c r="C63" s="355">
        <f>'3 现金流量表'!E108</f>
        <v>0</v>
      </c>
      <c r="D63" s="359"/>
      <c r="E63" s="357" t="s">
        <v>108</v>
      </c>
    </row>
    <row r="64" spans="2:5">
      <c r="B64" s="354"/>
      <c r="C64" s="358"/>
      <c r="D64" s="359"/>
      <c r="E64" s="356"/>
    </row>
    <row r="65" spans="2:5" s="54" customFormat="1" ht="15">
      <c r="B65" s="360" t="s">
        <v>110</v>
      </c>
      <c r="C65" s="363" t="s">
        <v>65</v>
      </c>
      <c r="D65" s="362" t="s">
        <v>66</v>
      </c>
      <c r="E65" s="366"/>
    </row>
    <row r="66" spans="2:5">
      <c r="B66" s="365" t="s">
        <v>111</v>
      </c>
      <c r="C66" s="355">
        <f>'3 现金流量表'!E111</f>
        <v>0</v>
      </c>
      <c r="D66" s="359"/>
      <c r="E66" s="356"/>
    </row>
    <row r="67" spans="2:5">
      <c r="B67" s="365" t="s">
        <v>112</v>
      </c>
      <c r="C67" s="355">
        <f>'3 现金流量表'!E112</f>
        <v>0</v>
      </c>
      <c r="D67" s="359"/>
      <c r="E67" s="356"/>
    </row>
    <row r="68" spans="2:5" ht="24">
      <c r="B68" s="259" t="s">
        <v>113</v>
      </c>
      <c r="C68" s="355">
        <f>'3 现金流量表'!E113</f>
        <v>0</v>
      </c>
      <c r="D68" s="359"/>
      <c r="E68" s="356"/>
    </row>
    <row r="69" spans="2:5" hidden="1" outlineLevel="1">
      <c r="B69" s="365" t="s">
        <v>114</v>
      </c>
      <c r="C69" s="355">
        <f>'3 现金流量表'!E114</f>
        <v>169925631.03999999</v>
      </c>
      <c r="D69" s="359"/>
      <c r="E69" s="356"/>
    </row>
    <row r="70" spans="2:5" collapsed="1">
      <c r="B70" s="365" t="s">
        <v>115</v>
      </c>
      <c r="C70" s="355">
        <f>'3 现金流量表'!E115</f>
        <v>0</v>
      </c>
      <c r="D70" s="359"/>
      <c r="E70" s="356"/>
    </row>
    <row r="71" spans="2:5">
      <c r="B71" s="365" t="s">
        <v>116</v>
      </c>
      <c r="C71" s="355">
        <f>'3 现金流量表'!E116</f>
        <v>0</v>
      </c>
      <c r="D71" s="359"/>
      <c r="E71" s="356"/>
    </row>
    <row r="72" spans="2:5">
      <c r="B72" s="365" t="s">
        <v>117</v>
      </c>
      <c r="C72" s="355">
        <f>'3 现金流量表'!E117</f>
        <v>0</v>
      </c>
      <c r="D72" s="359"/>
      <c r="E72" s="356"/>
    </row>
    <row r="73" spans="2:5">
      <c r="B73" s="365"/>
      <c r="C73" s="355"/>
      <c r="D73" s="359"/>
      <c r="E73" s="356"/>
    </row>
    <row r="74" spans="2:5" s="54" customFormat="1" ht="15">
      <c r="B74" s="360" t="s">
        <v>118</v>
      </c>
      <c r="C74" s="363" t="s">
        <v>65</v>
      </c>
      <c r="D74" s="362" t="s">
        <v>66</v>
      </c>
      <c r="E74" s="366"/>
    </row>
    <row r="75" spans="2:5">
      <c r="B75" s="259" t="s">
        <v>119</v>
      </c>
      <c r="C75" s="355">
        <f>'4 管理利润表'!C43</f>
        <v>0</v>
      </c>
      <c r="D75" s="359"/>
      <c r="E75" s="356"/>
    </row>
    <row r="76" spans="2:5">
      <c r="B76" s="259" t="s">
        <v>120</v>
      </c>
      <c r="C76" s="355">
        <f>'4 管理利润表'!C44</f>
        <v>0</v>
      </c>
      <c r="D76" s="359"/>
      <c r="E76" s="356"/>
    </row>
    <row r="77" spans="2:5">
      <c r="B77" s="259" t="s">
        <v>121</v>
      </c>
      <c r="C77" s="355">
        <f>'4 管理利润表'!C45</f>
        <v>0</v>
      </c>
      <c r="D77" s="359"/>
      <c r="E77" s="356"/>
    </row>
    <row r="78" spans="2:5">
      <c r="B78" s="259" t="s">
        <v>122</v>
      </c>
      <c r="C78" s="355">
        <f>'4 管理利润表'!C46</f>
        <v>0</v>
      </c>
      <c r="D78" s="359"/>
      <c r="E78" s="356"/>
    </row>
    <row r="79" spans="2:5">
      <c r="B79" s="259" t="s">
        <v>123</v>
      </c>
      <c r="C79" s="355">
        <f>'4 管理利润表'!C47</f>
        <v>0</v>
      </c>
      <c r="D79" s="359"/>
      <c r="E79" s="356"/>
    </row>
    <row r="80" spans="2:5">
      <c r="B80" s="259" t="s">
        <v>124</v>
      </c>
      <c r="C80" s="355">
        <f>'4 管理利润表'!C48</f>
        <v>0</v>
      </c>
      <c r="D80" s="359"/>
      <c r="E80" s="356"/>
    </row>
    <row r="81" spans="2:5">
      <c r="B81" s="259" t="s">
        <v>125</v>
      </c>
      <c r="C81" s="355">
        <f>'4 管理利润表'!C49</f>
        <v>0</v>
      </c>
      <c r="D81" s="359"/>
      <c r="E81" s="356"/>
    </row>
    <row r="82" spans="2:5">
      <c r="B82" s="259" t="s">
        <v>126</v>
      </c>
      <c r="C82" s="355">
        <f>'4 管理利润表'!C50</f>
        <v>0</v>
      </c>
      <c r="D82" s="359"/>
      <c r="E82" s="356"/>
    </row>
    <row r="83" spans="2:5">
      <c r="B83" s="259" t="s">
        <v>127</v>
      </c>
      <c r="C83" s="355">
        <f>'4 管理利润表'!C51</f>
        <v>0</v>
      </c>
      <c r="D83" s="359"/>
      <c r="E83" s="356"/>
    </row>
    <row r="84" spans="2:5">
      <c r="B84" s="365"/>
      <c r="C84" s="355"/>
      <c r="D84" s="359"/>
      <c r="E84" s="356"/>
    </row>
    <row r="85" spans="2:5" s="54" customFormat="1" ht="15">
      <c r="B85" s="360" t="s">
        <v>128</v>
      </c>
      <c r="C85" s="363" t="s">
        <v>129</v>
      </c>
      <c r="D85" s="362" t="s">
        <v>130</v>
      </c>
      <c r="E85" s="366"/>
    </row>
    <row r="86" spans="2:5">
      <c r="B86" s="259" t="s">
        <v>131</v>
      </c>
      <c r="C86" s="355">
        <f>'5 开发成本表'!B63</f>
        <v>0</v>
      </c>
      <c r="D86" s="359"/>
      <c r="E86" s="356"/>
    </row>
    <row r="87" spans="2:5">
      <c r="B87" s="259" t="s">
        <v>132</v>
      </c>
      <c r="C87" s="355">
        <f>'5 开发成本表'!G64</f>
        <v>0</v>
      </c>
      <c r="D87" s="359"/>
      <c r="E87" s="356"/>
    </row>
    <row r="88" spans="2:5">
      <c r="B88" s="259" t="s">
        <v>133</v>
      </c>
      <c r="C88" s="355">
        <f>'5 开发成本表'!G65</f>
        <v>0</v>
      </c>
      <c r="D88" s="359"/>
      <c r="E88" s="356"/>
    </row>
    <row r="89" spans="2:5">
      <c r="B89" s="259" t="s">
        <v>134</v>
      </c>
      <c r="C89" s="355">
        <f>'5 开发成本表'!G66</f>
        <v>0</v>
      </c>
      <c r="D89" s="359"/>
      <c r="E89" s="356"/>
    </row>
    <row r="90" spans="2:5">
      <c r="B90" s="259" t="s">
        <v>135</v>
      </c>
      <c r="C90" s="355">
        <f>'5 开发成本表'!G67</f>
        <v>0</v>
      </c>
      <c r="D90" s="359"/>
      <c r="E90" s="356"/>
    </row>
    <row r="91" spans="2:5">
      <c r="B91" s="259" t="s">
        <v>136</v>
      </c>
      <c r="C91" s="355">
        <f>'5 开发成本表'!G68</f>
        <v>0</v>
      </c>
      <c r="D91" s="359"/>
      <c r="E91" s="356"/>
    </row>
    <row r="92" spans="2:5">
      <c r="B92" s="259" t="s">
        <v>137</v>
      </c>
      <c r="C92" s="355">
        <f>'5 开发成本表'!G69</f>
        <v>0</v>
      </c>
      <c r="D92" s="359"/>
      <c r="E92" s="356"/>
    </row>
    <row r="93" spans="2:5">
      <c r="B93" s="259" t="s">
        <v>138</v>
      </c>
      <c r="C93" s="355">
        <f>'5 开发成本表'!G70</f>
        <v>0</v>
      </c>
      <c r="D93" s="359"/>
      <c r="E93" s="356"/>
    </row>
    <row r="94" spans="2:5">
      <c r="B94" s="259" t="s">
        <v>139</v>
      </c>
      <c r="C94" s="355">
        <f>'5 开发成本表'!G71</f>
        <v>0</v>
      </c>
      <c r="D94" s="359"/>
      <c r="E94" s="356"/>
    </row>
    <row r="95" spans="2:5">
      <c r="B95" s="259"/>
      <c r="C95" s="355"/>
      <c r="D95" s="359"/>
      <c r="E95" s="356"/>
    </row>
    <row r="96" spans="2:5" ht="15">
      <c r="B96" s="360" t="s">
        <v>140</v>
      </c>
      <c r="C96" s="355"/>
      <c r="D96" s="359"/>
      <c r="E96" s="356"/>
    </row>
    <row r="97" spans="2:5">
      <c r="B97" s="259" t="s">
        <v>141</v>
      </c>
      <c r="C97" s="355">
        <f>'6 总体费用'!D59</f>
        <v>0</v>
      </c>
      <c r="D97" s="359"/>
      <c r="E97" s="356"/>
    </row>
    <row r="98" spans="2:5">
      <c r="B98" s="259" t="s">
        <v>142</v>
      </c>
      <c r="C98" s="355">
        <f>'6 总体费用'!D60</f>
        <v>0</v>
      </c>
      <c r="D98" s="359"/>
      <c r="E98" s="356"/>
    </row>
    <row r="99" spans="2:5">
      <c r="B99" s="259" t="s">
        <v>143</v>
      </c>
      <c r="C99" s="355">
        <f>'6 总体费用'!D61</f>
        <v>0</v>
      </c>
      <c r="D99" s="359"/>
      <c r="E99" s="356"/>
    </row>
    <row r="100" spans="2:5">
      <c r="B100" s="259" t="s">
        <v>144</v>
      </c>
      <c r="C100" s="355">
        <f>'6 总体费用'!D62</f>
        <v>0</v>
      </c>
      <c r="D100" s="359"/>
      <c r="E100" s="356"/>
    </row>
    <row r="101" spans="2:5">
      <c r="B101" s="259" t="s">
        <v>139</v>
      </c>
      <c r="C101" s="355">
        <f>'6 总体费用'!D63</f>
        <v>0</v>
      </c>
      <c r="D101" s="359"/>
      <c r="E101" s="356"/>
    </row>
    <row r="102" spans="2:5">
      <c r="B102" s="259" t="s">
        <v>145</v>
      </c>
      <c r="C102" s="355">
        <f>'6 总体费用'!D64</f>
        <v>0</v>
      </c>
      <c r="D102" s="359"/>
      <c r="E102" s="356"/>
    </row>
    <row r="103" spans="2:5">
      <c r="B103" s="259" t="s">
        <v>146</v>
      </c>
      <c r="C103" s="355">
        <f>'6 总体费用'!D65</f>
        <v>0</v>
      </c>
      <c r="D103" s="359"/>
      <c r="E103" s="356"/>
    </row>
    <row r="104" spans="2:5">
      <c r="B104" s="259" t="s">
        <v>147</v>
      </c>
      <c r="C104" s="355">
        <f>'6 总体费用'!D66</f>
        <v>0</v>
      </c>
      <c r="D104" s="359"/>
      <c r="E104" s="356"/>
    </row>
    <row r="105" spans="2:5">
      <c r="B105" s="259" t="s">
        <v>148</v>
      </c>
      <c r="C105" s="355">
        <f>'6 总体费用'!D67</f>
        <v>0</v>
      </c>
      <c r="D105" s="359"/>
      <c r="E105" s="356"/>
    </row>
    <row r="106" spans="2:5">
      <c r="B106" s="259"/>
      <c r="C106" s="355"/>
      <c r="D106" s="359"/>
      <c r="E106" s="356"/>
    </row>
    <row r="107" spans="2:5" ht="15">
      <c r="B107" s="367" t="s">
        <v>149</v>
      </c>
      <c r="C107" s="355"/>
      <c r="D107" s="359"/>
      <c r="E107" s="356"/>
    </row>
    <row r="108" spans="2:5">
      <c r="B108" s="365" t="s">
        <v>150</v>
      </c>
      <c r="C108" s="355">
        <f>'7 融资表'!W6</f>
        <v>0</v>
      </c>
      <c r="D108" s="359"/>
      <c r="E108" s="356"/>
    </row>
    <row r="109" spans="2:5">
      <c r="B109" s="365" t="s">
        <v>151</v>
      </c>
      <c r="C109" s="355">
        <f>'7 融资表'!L18</f>
        <v>0</v>
      </c>
      <c r="D109" s="359"/>
      <c r="E109" s="356"/>
    </row>
    <row r="110" spans="2:5">
      <c r="B110" s="365" t="s">
        <v>152</v>
      </c>
      <c r="C110" s="355">
        <f>'7 融资表'!P18</f>
        <v>0</v>
      </c>
      <c r="D110" s="359"/>
      <c r="E110" s="356"/>
    </row>
    <row r="111" spans="2:5">
      <c r="B111" s="365"/>
      <c r="C111" s="355"/>
      <c r="D111" s="359"/>
      <c r="E111" s="356"/>
    </row>
    <row r="112" spans="2:5" s="54" customFormat="1" ht="15">
      <c r="B112" s="367" t="s">
        <v>153</v>
      </c>
      <c r="C112" s="363" t="s">
        <v>65</v>
      </c>
      <c r="D112" s="362" t="s">
        <v>66</v>
      </c>
      <c r="E112" s="366"/>
    </row>
    <row r="113" spans="2:5">
      <c r="B113" s="259" t="s">
        <v>154</v>
      </c>
      <c r="C113" s="355">
        <f>'8 税费表'!C36</f>
        <v>0</v>
      </c>
      <c r="D113" s="359"/>
      <c r="E113" s="356"/>
    </row>
    <row r="114" spans="2:5">
      <c r="B114" s="259" t="s">
        <v>155</v>
      </c>
      <c r="C114" s="355">
        <f>'8 税费表'!C37</f>
        <v>0</v>
      </c>
      <c r="D114" s="359"/>
      <c r="E114" s="356"/>
    </row>
    <row r="115" spans="2:5">
      <c r="B115" s="259" t="s">
        <v>156</v>
      </c>
      <c r="C115" s="355">
        <f>'8 税费表'!C38</f>
        <v>0</v>
      </c>
      <c r="D115" s="359"/>
      <c r="E115" s="356"/>
    </row>
    <row r="116" spans="2:5">
      <c r="B116" s="259" t="s">
        <v>157</v>
      </c>
      <c r="C116" s="355">
        <f>'8 税费表'!C39</f>
        <v>0</v>
      </c>
      <c r="D116" s="359"/>
      <c r="E116" s="356"/>
    </row>
    <row r="117" spans="2:5">
      <c r="B117" s="259" t="s">
        <v>158</v>
      </c>
      <c r="C117" s="355">
        <f>'8 税费表'!C40</f>
        <v>0</v>
      </c>
      <c r="D117" s="359"/>
      <c r="E117" s="356"/>
    </row>
    <row r="118" spans="2:5">
      <c r="B118" s="365"/>
      <c r="C118" s="355"/>
      <c r="D118" s="359"/>
      <c r="E118" s="356"/>
    </row>
  </sheetData>
  <mergeCells count="10">
    <mergeCell ref="B10:E10"/>
    <mergeCell ref="B11:E11"/>
    <mergeCell ref="B12:E12"/>
    <mergeCell ref="B14:E14"/>
    <mergeCell ref="C15:E15"/>
    <mergeCell ref="B1:C1"/>
    <mergeCell ref="B6:E6"/>
    <mergeCell ref="B7:E7"/>
    <mergeCell ref="B8:E8"/>
    <mergeCell ref="B9:E9"/>
  </mergeCells>
  <phoneticPr fontId="83" type="noConversion"/>
  <dataValidations count="1">
    <dataValidation type="list" allowBlank="1" showInputMessage="1" showErrorMessage="1" sqref="C3">
      <formula1>$F$3:$F$43</formula1>
    </dataValidation>
  </dataValidations>
  <pageMargins left="0.69930555555555596" right="0.69930555555555596" top="0.75" bottom="0.75" header="0.3" footer="0.3"/>
  <pageSetup paperSize="9" scale="6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  <pageSetUpPr fitToPage="1"/>
  </sheetPr>
  <dimension ref="A1:EA41"/>
  <sheetViews>
    <sheetView view="pageBreakPreview" zoomScaleNormal="100" zoomScaleSheetLayoutView="100" workbookViewId="0">
      <pane xSplit="2" ySplit="5" topLeftCell="C6" activePane="bottomRight" state="frozen"/>
      <selection pane="topRight"/>
      <selection pane="bottomLeft"/>
      <selection pane="bottomRight" activeCell="U14" sqref="U14"/>
    </sheetView>
  </sheetViews>
  <sheetFormatPr defaultColWidth="9" defaultRowHeight="14.25"/>
  <cols>
    <col min="1" max="1" width="9" style="64"/>
    <col min="2" max="2" width="20.375" style="64" customWidth="1"/>
    <col min="3" max="3" width="14.75" style="64" customWidth="1"/>
    <col min="4" max="4" width="14.75" style="64" hidden="1" customWidth="1"/>
    <col min="5" max="5" width="10.625" style="64" customWidth="1"/>
    <col min="6" max="17" width="8.625" style="64" customWidth="1"/>
    <col min="18" max="18" width="11.375" style="64" customWidth="1"/>
    <col min="19" max="16384" width="9" style="64"/>
  </cols>
  <sheetData>
    <row r="1" spans="1:131" ht="18.75">
      <c r="A1" s="1" t="s">
        <v>725</v>
      </c>
    </row>
    <row r="2" spans="1:131" ht="18">
      <c r="A2" s="65" t="str">
        <f>"编制单位："&amp;编制说明及审核公式!$C$2</f>
        <v>编制单位：上海丰泰置业有限公司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86"/>
    </row>
    <row r="3" spans="1:131" ht="18.75">
      <c r="A3" s="65" t="str">
        <f>"日期："&amp;编制说明及审核公式!$C$3</f>
        <v>日期：2020年12月</v>
      </c>
      <c r="B3" s="66"/>
      <c r="C3" s="1"/>
      <c r="D3" s="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86"/>
    </row>
    <row r="4" spans="1:131" ht="17.100000000000001" customHeight="1">
      <c r="A4" s="65" t="s">
        <v>175</v>
      </c>
      <c r="B4" s="67"/>
      <c r="C4" s="68"/>
      <c r="D4" s="68"/>
      <c r="E4" s="67"/>
      <c r="F4" s="68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92"/>
      <c r="DQ4" s="92"/>
      <c r="DR4" s="92"/>
      <c r="DS4" s="92"/>
      <c r="DT4" s="92"/>
      <c r="DU4" s="92"/>
      <c r="DV4" s="67"/>
      <c r="DW4" s="67"/>
      <c r="DX4" s="67"/>
      <c r="DY4" s="67"/>
      <c r="DZ4" s="67"/>
      <c r="EA4" s="67"/>
    </row>
    <row r="5" spans="1:131" ht="18.600000000000001" customHeight="1">
      <c r="A5" s="69" t="s">
        <v>471</v>
      </c>
      <c r="B5" s="69" t="s">
        <v>603</v>
      </c>
      <c r="C5" s="69" t="s">
        <v>726</v>
      </c>
      <c r="D5" s="70" t="s">
        <v>271</v>
      </c>
      <c r="E5" s="69" t="s">
        <v>727</v>
      </c>
      <c r="F5" s="69" t="s">
        <v>344</v>
      </c>
      <c r="G5" s="69" t="s">
        <v>345</v>
      </c>
      <c r="H5" s="69" t="s">
        <v>346</v>
      </c>
      <c r="I5" s="69" t="s">
        <v>347</v>
      </c>
      <c r="J5" s="69" t="s">
        <v>348</v>
      </c>
      <c r="K5" s="69" t="s">
        <v>349</v>
      </c>
      <c r="L5" s="69" t="s">
        <v>350</v>
      </c>
      <c r="M5" s="69" t="s">
        <v>351</v>
      </c>
      <c r="N5" s="69" t="s">
        <v>352</v>
      </c>
      <c r="O5" s="69" t="s">
        <v>353</v>
      </c>
      <c r="P5" s="69" t="s">
        <v>354</v>
      </c>
      <c r="Q5" s="69" t="s">
        <v>355</v>
      </c>
      <c r="R5" s="87" t="s">
        <v>728</v>
      </c>
      <c r="S5" s="88" t="s">
        <v>285</v>
      </c>
      <c r="T5" s="89"/>
    </row>
    <row r="6" spans="1:131">
      <c r="A6" s="71">
        <v>1</v>
      </c>
      <c r="B6" s="72" t="s">
        <v>729</v>
      </c>
      <c r="C6" s="73">
        <v>0</v>
      </c>
      <c r="D6" s="74">
        <f>INDEX(F6:Q6,MATCH(--MID($A$3,9,2)&amp;"月",$F$5:$Q$5,))</f>
        <v>0</v>
      </c>
      <c r="E6" s="75">
        <f t="shared" ref="E6:E11" si="0">SUM(F6:Q6)</f>
        <v>0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5">
        <f>SUM(C6,E6)</f>
        <v>0</v>
      </c>
      <c r="S6" s="90">
        <f>ROUND(R6-E6-C6,2)</f>
        <v>0</v>
      </c>
      <c r="T6" s="90">
        <f>ROUND(E6-SUM(F6:Q6),2)</f>
        <v>0</v>
      </c>
    </row>
    <row r="7" spans="1:131">
      <c r="A7" s="71">
        <v>2</v>
      </c>
      <c r="B7" s="72" t="s">
        <v>730</v>
      </c>
      <c r="C7" s="73">
        <v>0</v>
      </c>
      <c r="D7" s="74">
        <f t="shared" ref="D7:D32" si="1">INDEX(F7:Q7,MATCH(--MID($A$3,9,2)&amp;"月",$F$5:$Q$5,))</f>
        <v>0</v>
      </c>
      <c r="E7" s="75">
        <f t="shared" si="0"/>
        <v>0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5">
        <f t="shared" ref="R7:R32" si="2">SUM(C7,E7)</f>
        <v>0</v>
      </c>
      <c r="S7" s="90">
        <f t="shared" ref="S7:S22" si="3">ROUND(R7-E7-C7,2)</f>
        <v>0</v>
      </c>
      <c r="T7" s="90">
        <f t="shared" ref="T7:T22" si="4">ROUND(E7-SUM(F7:Q7),2)</f>
        <v>0</v>
      </c>
    </row>
    <row r="8" spans="1:131">
      <c r="A8" s="71"/>
      <c r="B8" s="76" t="s">
        <v>731</v>
      </c>
      <c r="C8" s="73">
        <v>0</v>
      </c>
      <c r="D8" s="74">
        <f t="shared" si="1"/>
        <v>0</v>
      </c>
      <c r="E8" s="75">
        <f t="shared" si="0"/>
        <v>0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5">
        <f t="shared" si="2"/>
        <v>0</v>
      </c>
      <c r="S8" s="90">
        <f t="shared" si="3"/>
        <v>0</v>
      </c>
      <c r="T8" s="90">
        <f t="shared" si="4"/>
        <v>0</v>
      </c>
    </row>
    <row r="9" spans="1:131">
      <c r="A9" s="71"/>
      <c r="B9" s="76" t="s">
        <v>732</v>
      </c>
      <c r="C9" s="73">
        <v>98039033.350000024</v>
      </c>
      <c r="D9" s="74">
        <f t="shared" si="1"/>
        <v>34351.67</v>
      </c>
      <c r="E9" s="75">
        <f t="shared" si="0"/>
        <v>9302825.8399999999</v>
      </c>
      <c r="F9" s="73">
        <v>7365575.4300000006</v>
      </c>
      <c r="G9" s="73">
        <v>1316.34</v>
      </c>
      <c r="H9" s="73">
        <v>56548.68</v>
      </c>
      <c r="I9" s="73">
        <v>894023.8</v>
      </c>
      <c r="J9" s="73">
        <v>499886.89</v>
      </c>
      <c r="K9" s="73">
        <v>249594.76</v>
      </c>
      <c r="L9" s="73">
        <v>44911.23</v>
      </c>
      <c r="M9" s="73">
        <v>48320.090000000004</v>
      </c>
      <c r="N9" s="73">
        <v>104846.1</v>
      </c>
      <c r="O9" s="73">
        <v>2323.42</v>
      </c>
      <c r="P9" s="73">
        <v>1127.43</v>
      </c>
      <c r="Q9" s="73">
        <v>34351.67</v>
      </c>
      <c r="R9" s="75">
        <f t="shared" si="2"/>
        <v>107341859.19000003</v>
      </c>
      <c r="S9" s="90">
        <f t="shared" si="3"/>
        <v>0</v>
      </c>
      <c r="T9" s="90">
        <f t="shared" si="4"/>
        <v>0</v>
      </c>
    </row>
    <row r="10" spans="1:131">
      <c r="A10" s="71"/>
      <c r="B10" s="76" t="s">
        <v>733</v>
      </c>
      <c r="C10" s="73">
        <v>460.18</v>
      </c>
      <c r="D10" s="74">
        <f t="shared" si="1"/>
        <v>0</v>
      </c>
      <c r="E10" s="75">
        <f t="shared" si="0"/>
        <v>0</v>
      </c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5">
        <f t="shared" si="2"/>
        <v>460.18</v>
      </c>
      <c r="S10" s="90">
        <f t="shared" si="3"/>
        <v>0</v>
      </c>
      <c r="T10" s="90">
        <f t="shared" si="4"/>
        <v>0</v>
      </c>
    </row>
    <row r="11" spans="1:131">
      <c r="A11" s="71"/>
      <c r="B11" s="76" t="s">
        <v>734</v>
      </c>
      <c r="C11" s="73">
        <v>0</v>
      </c>
      <c r="D11" s="74">
        <f t="shared" si="1"/>
        <v>0</v>
      </c>
      <c r="E11" s="75">
        <f t="shared" si="0"/>
        <v>0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5">
        <f t="shared" si="2"/>
        <v>0</v>
      </c>
      <c r="S11" s="90">
        <f t="shared" si="3"/>
        <v>0</v>
      </c>
      <c r="T11" s="90">
        <f t="shared" si="4"/>
        <v>0</v>
      </c>
    </row>
    <row r="12" spans="1:131">
      <c r="A12" s="71">
        <v>3</v>
      </c>
      <c r="B12" s="72" t="s">
        <v>735</v>
      </c>
      <c r="C12" s="73">
        <v>0</v>
      </c>
      <c r="D12" s="74">
        <f t="shared" si="1"/>
        <v>0</v>
      </c>
      <c r="E12" s="75">
        <f t="shared" ref="E12:E21" si="5">SUM(F12:Q12)</f>
        <v>0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5">
        <f t="shared" si="2"/>
        <v>0</v>
      </c>
      <c r="S12" s="90">
        <f t="shared" si="3"/>
        <v>0</v>
      </c>
      <c r="T12" s="90">
        <f t="shared" si="4"/>
        <v>0</v>
      </c>
    </row>
    <row r="13" spans="1:131">
      <c r="A13" s="71">
        <v>4.0999999999999996</v>
      </c>
      <c r="B13" s="77" t="s">
        <v>736</v>
      </c>
      <c r="C13" s="73">
        <v>0</v>
      </c>
      <c r="D13" s="74">
        <f t="shared" si="1"/>
        <v>0</v>
      </c>
      <c r="E13" s="75">
        <f t="shared" si="5"/>
        <v>0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5">
        <f t="shared" si="2"/>
        <v>0</v>
      </c>
      <c r="S13" s="90">
        <f t="shared" si="3"/>
        <v>0</v>
      </c>
      <c r="T13" s="90">
        <f t="shared" si="4"/>
        <v>0</v>
      </c>
    </row>
    <row r="14" spans="1:131">
      <c r="A14" s="71">
        <v>4.2</v>
      </c>
      <c r="B14" s="77" t="s">
        <v>737</v>
      </c>
      <c r="C14" s="73">
        <v>0</v>
      </c>
      <c r="D14" s="74">
        <f t="shared" si="1"/>
        <v>0</v>
      </c>
      <c r="E14" s="75">
        <f t="shared" si="5"/>
        <v>0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5">
        <f t="shared" si="2"/>
        <v>0</v>
      </c>
      <c r="S14" s="90">
        <f t="shared" si="3"/>
        <v>0</v>
      </c>
      <c r="T14" s="90">
        <f t="shared" si="4"/>
        <v>0</v>
      </c>
    </row>
    <row r="15" spans="1:131">
      <c r="A15" s="71">
        <v>5</v>
      </c>
      <c r="B15" s="77" t="s">
        <v>738</v>
      </c>
      <c r="C15" s="73">
        <v>0</v>
      </c>
      <c r="D15" s="74">
        <f t="shared" si="1"/>
        <v>0</v>
      </c>
      <c r="E15" s="75">
        <f t="shared" si="5"/>
        <v>0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5">
        <f t="shared" si="2"/>
        <v>0</v>
      </c>
      <c r="S15" s="90">
        <f t="shared" si="3"/>
        <v>0</v>
      </c>
      <c r="T15" s="90">
        <f t="shared" si="4"/>
        <v>0</v>
      </c>
    </row>
    <row r="16" spans="1:131">
      <c r="A16" s="71">
        <v>6</v>
      </c>
      <c r="B16" s="77" t="s">
        <v>739</v>
      </c>
      <c r="C16" s="73">
        <v>0</v>
      </c>
      <c r="D16" s="74">
        <f t="shared" si="1"/>
        <v>0</v>
      </c>
      <c r="E16" s="75">
        <f t="shared" si="5"/>
        <v>0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5">
        <f t="shared" si="2"/>
        <v>0</v>
      </c>
      <c r="S16" s="90">
        <f t="shared" si="3"/>
        <v>0</v>
      </c>
      <c r="T16" s="90">
        <f t="shared" si="4"/>
        <v>0</v>
      </c>
    </row>
    <row r="17" spans="1:20">
      <c r="A17" s="71">
        <v>7</v>
      </c>
      <c r="B17" s="72" t="s">
        <v>740</v>
      </c>
      <c r="C17" s="73">
        <v>0</v>
      </c>
      <c r="D17" s="74">
        <f t="shared" si="1"/>
        <v>0</v>
      </c>
      <c r="E17" s="75">
        <f t="shared" si="5"/>
        <v>0</v>
      </c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5">
        <f t="shared" si="2"/>
        <v>0</v>
      </c>
      <c r="S17" s="90">
        <f t="shared" si="3"/>
        <v>0</v>
      </c>
      <c r="T17" s="90">
        <f t="shared" si="4"/>
        <v>0</v>
      </c>
    </row>
    <row r="18" spans="1:20">
      <c r="A18" s="71">
        <v>8</v>
      </c>
      <c r="B18" s="72" t="s">
        <v>741</v>
      </c>
      <c r="C18" s="73">
        <v>1626505.7</v>
      </c>
      <c r="D18" s="74">
        <f t="shared" si="1"/>
        <v>0</v>
      </c>
      <c r="E18" s="75">
        <f t="shared" si="5"/>
        <v>100264.04999999999</v>
      </c>
      <c r="F18" s="73"/>
      <c r="G18" s="73"/>
      <c r="H18" s="73"/>
      <c r="I18" s="73"/>
      <c r="J18" s="73">
        <v>66842.7</v>
      </c>
      <c r="K18" s="73"/>
      <c r="L18" s="73"/>
      <c r="M18" s="73"/>
      <c r="N18" s="73"/>
      <c r="O18" s="73">
        <v>33421.35</v>
      </c>
      <c r="P18" s="73"/>
      <c r="Q18" s="73"/>
      <c r="R18" s="75">
        <f t="shared" si="2"/>
        <v>1726769.75</v>
      </c>
      <c r="S18" s="90">
        <f t="shared" si="3"/>
        <v>0</v>
      </c>
      <c r="T18" s="90">
        <f t="shared" si="4"/>
        <v>0</v>
      </c>
    </row>
    <row r="19" spans="1:20">
      <c r="A19" s="71">
        <v>9</v>
      </c>
      <c r="B19" s="72" t="s">
        <v>742</v>
      </c>
      <c r="C19" s="73">
        <v>2851234.06</v>
      </c>
      <c r="D19" s="74">
        <f t="shared" si="1"/>
        <v>0</v>
      </c>
      <c r="E19" s="75">
        <f t="shared" si="5"/>
        <v>107382.39999999999</v>
      </c>
      <c r="F19" s="73"/>
      <c r="G19" s="73"/>
      <c r="H19" s="73"/>
      <c r="I19" s="73"/>
      <c r="J19" s="73"/>
      <c r="K19" s="73"/>
      <c r="L19" s="73"/>
      <c r="M19" s="73"/>
      <c r="N19" s="73"/>
      <c r="O19" s="73">
        <v>107382.39999999999</v>
      </c>
      <c r="P19" s="73"/>
      <c r="Q19" s="73"/>
      <c r="R19" s="75">
        <f t="shared" si="2"/>
        <v>2958616.46</v>
      </c>
      <c r="S19" s="90">
        <f t="shared" si="3"/>
        <v>0</v>
      </c>
      <c r="T19" s="90">
        <f t="shared" si="4"/>
        <v>0</v>
      </c>
    </row>
    <row r="20" spans="1:20">
      <c r="A20" s="71">
        <v>10</v>
      </c>
      <c r="B20" s="72" t="s">
        <v>743</v>
      </c>
      <c r="C20" s="73">
        <v>42000000</v>
      </c>
      <c r="D20" s="74">
        <f t="shared" si="1"/>
        <v>0</v>
      </c>
      <c r="E20" s="75">
        <f t="shared" si="5"/>
        <v>0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5">
        <f t="shared" si="2"/>
        <v>42000000</v>
      </c>
      <c r="S20" s="90">
        <f t="shared" si="3"/>
        <v>0</v>
      </c>
      <c r="T20" s="90">
        <f t="shared" si="4"/>
        <v>0</v>
      </c>
    </row>
    <row r="21" spans="1:20">
      <c r="A21" s="71">
        <v>11</v>
      </c>
      <c r="B21" s="72" t="s">
        <v>744</v>
      </c>
      <c r="C21" s="73">
        <v>0</v>
      </c>
      <c r="D21" s="74">
        <f t="shared" si="1"/>
        <v>0</v>
      </c>
      <c r="E21" s="75">
        <f t="shared" si="5"/>
        <v>0</v>
      </c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5">
        <f t="shared" si="2"/>
        <v>0</v>
      </c>
      <c r="S21" s="90">
        <f t="shared" si="3"/>
        <v>0</v>
      </c>
      <c r="T21" s="90">
        <f t="shared" si="4"/>
        <v>0</v>
      </c>
    </row>
    <row r="22" spans="1:20">
      <c r="A22" s="71"/>
      <c r="B22" s="78" t="s">
        <v>745</v>
      </c>
      <c r="C22" s="79">
        <f t="shared" ref="C22" si="6">SUM(C12:C21,C7)</f>
        <v>46477739.759999998</v>
      </c>
      <c r="D22" s="79">
        <f t="shared" si="1"/>
        <v>0</v>
      </c>
      <c r="E22" s="79">
        <f>SUM(E12:E21,E7)</f>
        <v>207646.44999999998</v>
      </c>
      <c r="F22" s="79">
        <f t="shared" ref="F22:Q22" si="7">SUM(F12:F21,F7)</f>
        <v>0</v>
      </c>
      <c r="G22" s="79">
        <f t="shared" si="7"/>
        <v>0</v>
      </c>
      <c r="H22" s="79">
        <f t="shared" si="7"/>
        <v>0</v>
      </c>
      <c r="I22" s="79">
        <f t="shared" si="7"/>
        <v>0</v>
      </c>
      <c r="J22" s="79">
        <f t="shared" si="7"/>
        <v>66842.7</v>
      </c>
      <c r="K22" s="79">
        <f t="shared" si="7"/>
        <v>0</v>
      </c>
      <c r="L22" s="79">
        <f t="shared" si="7"/>
        <v>0</v>
      </c>
      <c r="M22" s="79">
        <f t="shared" si="7"/>
        <v>0</v>
      </c>
      <c r="N22" s="79">
        <f t="shared" si="7"/>
        <v>0</v>
      </c>
      <c r="O22" s="79">
        <f t="shared" si="7"/>
        <v>140803.75</v>
      </c>
      <c r="P22" s="79">
        <f t="shared" si="7"/>
        <v>0</v>
      </c>
      <c r="Q22" s="79">
        <f t="shared" si="7"/>
        <v>0</v>
      </c>
      <c r="R22" s="79">
        <f t="shared" si="2"/>
        <v>46685386.210000001</v>
      </c>
      <c r="S22" s="90">
        <f t="shared" si="3"/>
        <v>0</v>
      </c>
      <c r="T22" s="90">
        <f t="shared" si="4"/>
        <v>0</v>
      </c>
    </row>
    <row r="23" spans="1:20">
      <c r="A23" s="71"/>
      <c r="B23" s="78" t="s">
        <v>746</v>
      </c>
      <c r="C23" s="80" t="str">
        <f t="shared" ref="C23:R23" si="8">IF(C6=0,"",C22/C6)</f>
        <v/>
      </c>
      <c r="D23" s="80" t="str">
        <f t="shared" si="1"/>
        <v/>
      </c>
      <c r="E23" s="80" t="str">
        <f t="shared" si="8"/>
        <v/>
      </c>
      <c r="F23" s="80" t="str">
        <f t="shared" si="8"/>
        <v/>
      </c>
      <c r="G23" s="80" t="str">
        <f t="shared" si="8"/>
        <v/>
      </c>
      <c r="H23" s="80" t="str">
        <f t="shared" si="8"/>
        <v/>
      </c>
      <c r="I23" s="80" t="str">
        <f t="shared" si="8"/>
        <v/>
      </c>
      <c r="J23" s="80" t="str">
        <f t="shared" si="8"/>
        <v/>
      </c>
      <c r="K23" s="80" t="str">
        <f t="shared" si="8"/>
        <v/>
      </c>
      <c r="L23" s="80" t="str">
        <f t="shared" si="8"/>
        <v/>
      </c>
      <c r="M23" s="80" t="str">
        <f t="shared" si="8"/>
        <v/>
      </c>
      <c r="N23" s="80" t="str">
        <f t="shared" si="8"/>
        <v/>
      </c>
      <c r="O23" s="80" t="str">
        <f t="shared" si="8"/>
        <v/>
      </c>
      <c r="P23" s="80" t="str">
        <f t="shared" si="8"/>
        <v/>
      </c>
      <c r="Q23" s="80" t="str">
        <f t="shared" si="8"/>
        <v/>
      </c>
      <c r="R23" s="80" t="str">
        <f t="shared" si="8"/>
        <v/>
      </c>
    </row>
    <row r="24" spans="1:20">
      <c r="A24" s="71">
        <v>12</v>
      </c>
      <c r="B24" s="77" t="s">
        <v>747</v>
      </c>
      <c r="C24" s="73">
        <v>0</v>
      </c>
      <c r="D24" s="74">
        <f t="shared" si="1"/>
        <v>0</v>
      </c>
      <c r="E24" s="75">
        <f>SUM(F24:Q24)</f>
        <v>0</v>
      </c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5">
        <f t="shared" si="2"/>
        <v>0</v>
      </c>
      <c r="S24" s="90">
        <f t="shared" ref="S24:S29" si="9">ROUND(R24-E24-C24,2)</f>
        <v>0</v>
      </c>
      <c r="T24" s="90">
        <f t="shared" ref="T24:T29" si="10">ROUND(E24-SUM(F24:Q24),2)</f>
        <v>0</v>
      </c>
    </row>
    <row r="25" spans="1:20">
      <c r="A25" s="71">
        <v>13</v>
      </c>
      <c r="B25" s="72" t="s">
        <v>748</v>
      </c>
      <c r="C25" s="73">
        <v>0</v>
      </c>
      <c r="D25" s="74">
        <f t="shared" si="1"/>
        <v>0</v>
      </c>
      <c r="E25" s="75">
        <f>SUM(F25:Q25)</f>
        <v>0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5">
        <f t="shared" si="2"/>
        <v>0</v>
      </c>
      <c r="S25" s="90">
        <f t="shared" si="9"/>
        <v>0</v>
      </c>
      <c r="T25" s="90">
        <f t="shared" si="10"/>
        <v>0</v>
      </c>
    </row>
    <row r="26" spans="1:20">
      <c r="A26" s="71">
        <v>14</v>
      </c>
      <c r="B26" s="77" t="s">
        <v>668</v>
      </c>
      <c r="C26" s="73">
        <v>146557.5</v>
      </c>
      <c r="D26" s="74">
        <f t="shared" si="1"/>
        <v>0</v>
      </c>
      <c r="E26" s="75">
        <f>SUM(F26:Q26)</f>
        <v>78550.2</v>
      </c>
      <c r="F26" s="73"/>
      <c r="G26" s="73"/>
      <c r="H26" s="73"/>
      <c r="I26" s="73"/>
      <c r="J26" s="73"/>
      <c r="K26" s="73"/>
      <c r="L26" s="73"/>
      <c r="M26" s="73"/>
      <c r="N26" s="73"/>
      <c r="O26" s="73">
        <v>78550.2</v>
      </c>
      <c r="P26" s="73"/>
      <c r="Q26" s="73"/>
      <c r="R26" s="75">
        <f t="shared" si="2"/>
        <v>225107.7</v>
      </c>
      <c r="S26" s="90">
        <f t="shared" si="9"/>
        <v>0</v>
      </c>
      <c r="T26" s="90">
        <f t="shared" si="10"/>
        <v>0</v>
      </c>
    </row>
    <row r="27" spans="1:20">
      <c r="A27" s="71">
        <v>15</v>
      </c>
      <c r="B27" s="72" t="s">
        <v>749</v>
      </c>
      <c r="C27" s="73">
        <v>2100</v>
      </c>
      <c r="D27" s="74">
        <f t="shared" si="1"/>
        <v>660</v>
      </c>
      <c r="E27" s="75">
        <f>SUM(F27:Q27)</f>
        <v>660</v>
      </c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>
        <v>660</v>
      </c>
      <c r="R27" s="75">
        <f t="shared" si="2"/>
        <v>2760</v>
      </c>
      <c r="S27" s="90">
        <f t="shared" si="9"/>
        <v>0</v>
      </c>
      <c r="T27" s="90">
        <f t="shared" si="10"/>
        <v>0</v>
      </c>
    </row>
    <row r="28" spans="1:20">
      <c r="A28" s="71"/>
      <c r="B28" s="78" t="s">
        <v>750</v>
      </c>
      <c r="C28" s="79">
        <f t="shared" ref="C28:Q28" si="11">SUM(C24:C27)</f>
        <v>148657.5</v>
      </c>
      <c r="D28" s="79">
        <f t="shared" si="1"/>
        <v>660</v>
      </c>
      <c r="E28" s="79">
        <f t="shared" si="11"/>
        <v>79210.2</v>
      </c>
      <c r="F28" s="79">
        <f t="shared" si="11"/>
        <v>0</v>
      </c>
      <c r="G28" s="79">
        <f t="shared" si="11"/>
        <v>0</v>
      </c>
      <c r="H28" s="79">
        <f t="shared" si="11"/>
        <v>0</v>
      </c>
      <c r="I28" s="79">
        <f t="shared" si="11"/>
        <v>0</v>
      </c>
      <c r="J28" s="79">
        <f t="shared" si="11"/>
        <v>0</v>
      </c>
      <c r="K28" s="79">
        <f t="shared" si="11"/>
        <v>0</v>
      </c>
      <c r="L28" s="79">
        <f t="shared" si="11"/>
        <v>0</v>
      </c>
      <c r="M28" s="79">
        <f t="shared" si="11"/>
        <v>0</v>
      </c>
      <c r="N28" s="79">
        <f t="shared" si="11"/>
        <v>0</v>
      </c>
      <c r="O28" s="79">
        <f t="shared" si="11"/>
        <v>78550.2</v>
      </c>
      <c r="P28" s="79">
        <f t="shared" si="11"/>
        <v>0</v>
      </c>
      <c r="Q28" s="79">
        <f t="shared" si="11"/>
        <v>660</v>
      </c>
      <c r="R28" s="79">
        <f t="shared" si="2"/>
        <v>227867.7</v>
      </c>
      <c r="S28" s="90">
        <f t="shared" si="9"/>
        <v>0</v>
      </c>
      <c r="T28" s="90">
        <f t="shared" si="10"/>
        <v>0</v>
      </c>
    </row>
    <row r="29" spans="1:20">
      <c r="A29" s="71"/>
      <c r="B29" s="78" t="s">
        <v>751</v>
      </c>
      <c r="C29" s="79">
        <f>C22+C28</f>
        <v>46626397.259999998</v>
      </c>
      <c r="D29" s="79">
        <f t="shared" si="1"/>
        <v>660</v>
      </c>
      <c r="E29" s="79">
        <f t="shared" ref="E29:Q29" si="12">E22+E28</f>
        <v>286856.64999999997</v>
      </c>
      <c r="F29" s="79">
        <f t="shared" si="12"/>
        <v>0</v>
      </c>
      <c r="G29" s="79">
        <f t="shared" si="12"/>
        <v>0</v>
      </c>
      <c r="H29" s="79">
        <f t="shared" si="12"/>
        <v>0</v>
      </c>
      <c r="I29" s="79">
        <f t="shared" si="12"/>
        <v>0</v>
      </c>
      <c r="J29" s="79">
        <f t="shared" si="12"/>
        <v>66842.7</v>
      </c>
      <c r="K29" s="79">
        <f t="shared" si="12"/>
        <v>0</v>
      </c>
      <c r="L29" s="79">
        <f t="shared" si="12"/>
        <v>0</v>
      </c>
      <c r="M29" s="79">
        <f t="shared" si="12"/>
        <v>0</v>
      </c>
      <c r="N29" s="79">
        <f t="shared" si="12"/>
        <v>0</v>
      </c>
      <c r="O29" s="79">
        <f t="shared" si="12"/>
        <v>219353.95</v>
      </c>
      <c r="P29" s="79">
        <f t="shared" si="12"/>
        <v>0</v>
      </c>
      <c r="Q29" s="79">
        <f t="shared" si="12"/>
        <v>660</v>
      </c>
      <c r="R29" s="79">
        <f t="shared" si="2"/>
        <v>46913253.909999996</v>
      </c>
      <c r="S29" s="90">
        <f t="shared" si="9"/>
        <v>0</v>
      </c>
      <c r="T29" s="90">
        <f t="shared" si="10"/>
        <v>0</v>
      </c>
    </row>
    <row r="30" spans="1:20">
      <c r="A30" s="71"/>
      <c r="B30" s="78" t="s">
        <v>752</v>
      </c>
      <c r="C30" s="80" t="str">
        <f t="shared" ref="C30:R30" si="13">IF(C6=0,"",C29/C6)</f>
        <v/>
      </c>
      <c r="D30" s="80" t="str">
        <f t="shared" si="1"/>
        <v/>
      </c>
      <c r="E30" s="80" t="str">
        <f t="shared" si="13"/>
        <v/>
      </c>
      <c r="F30" s="80" t="str">
        <f t="shared" si="13"/>
        <v/>
      </c>
      <c r="G30" s="80" t="str">
        <f t="shared" si="13"/>
        <v/>
      </c>
      <c r="H30" s="80" t="str">
        <f t="shared" si="13"/>
        <v/>
      </c>
      <c r="I30" s="80" t="str">
        <f t="shared" si="13"/>
        <v/>
      </c>
      <c r="J30" s="80" t="str">
        <f t="shared" si="13"/>
        <v/>
      </c>
      <c r="K30" s="80" t="str">
        <f t="shared" si="13"/>
        <v/>
      </c>
      <c r="L30" s="80" t="str">
        <f t="shared" si="13"/>
        <v/>
      </c>
      <c r="M30" s="80" t="str">
        <f t="shared" si="13"/>
        <v/>
      </c>
      <c r="N30" s="80" t="str">
        <f t="shared" si="13"/>
        <v/>
      </c>
      <c r="O30" s="80" t="str">
        <f t="shared" si="13"/>
        <v/>
      </c>
      <c r="P30" s="80" t="str">
        <f t="shared" si="13"/>
        <v/>
      </c>
      <c r="Q30" s="80" t="str">
        <f t="shared" si="13"/>
        <v/>
      </c>
      <c r="R30" s="80" t="str">
        <f t="shared" si="13"/>
        <v/>
      </c>
    </row>
    <row r="31" spans="1:20">
      <c r="A31" s="71">
        <v>16</v>
      </c>
      <c r="B31" s="72" t="s">
        <v>753</v>
      </c>
      <c r="C31" s="73">
        <v>2692392</v>
      </c>
      <c r="D31" s="74">
        <f t="shared" si="1"/>
        <v>18155.91</v>
      </c>
      <c r="E31" s="75">
        <f>SUM(F31:Q31)</f>
        <v>385546.02999999997</v>
      </c>
      <c r="F31" s="73">
        <v>49218.6</v>
      </c>
      <c r="G31" s="73">
        <v>86849.75</v>
      </c>
      <c r="H31" s="73">
        <v>17945.650000000001</v>
      </c>
      <c r="I31" s="73">
        <v>28119.85</v>
      </c>
      <c r="J31" s="73">
        <v>28728.799999999999</v>
      </c>
      <c r="K31" s="73">
        <v>32504.62</v>
      </c>
      <c r="L31" s="73">
        <v>32677.4</v>
      </c>
      <c r="M31" s="73">
        <v>28309.51</v>
      </c>
      <c r="N31" s="73">
        <v>25413.16</v>
      </c>
      <c r="O31" s="73">
        <v>17783.34</v>
      </c>
      <c r="P31" s="73">
        <v>19839.439999999999</v>
      </c>
      <c r="Q31" s="73">
        <v>18155.91</v>
      </c>
      <c r="R31" s="75">
        <f t="shared" si="2"/>
        <v>3077938.03</v>
      </c>
      <c r="S31" s="90">
        <f t="shared" ref="S31:S32" si="14">ROUND(R31-E31-C31,2)</f>
        <v>0</v>
      </c>
      <c r="T31" s="90">
        <f t="shared" ref="T31:T32" si="15">ROUND(E31-SUM(F31:Q31),2)</f>
        <v>0</v>
      </c>
    </row>
    <row r="32" spans="1:20">
      <c r="A32" s="71"/>
      <c r="B32" s="78" t="s">
        <v>754</v>
      </c>
      <c r="C32" s="79">
        <f t="shared" ref="C32:Q32" si="16">C22+C28+C31</f>
        <v>49318789.259999998</v>
      </c>
      <c r="D32" s="79">
        <f t="shared" si="1"/>
        <v>18815.91</v>
      </c>
      <c r="E32" s="79">
        <f t="shared" si="16"/>
        <v>672402.67999999993</v>
      </c>
      <c r="F32" s="79">
        <f t="shared" si="16"/>
        <v>49218.6</v>
      </c>
      <c r="G32" s="79">
        <f t="shared" si="16"/>
        <v>86849.75</v>
      </c>
      <c r="H32" s="79">
        <f t="shared" si="16"/>
        <v>17945.650000000001</v>
      </c>
      <c r="I32" s="79">
        <f t="shared" si="16"/>
        <v>28119.85</v>
      </c>
      <c r="J32" s="79">
        <f t="shared" si="16"/>
        <v>95571.5</v>
      </c>
      <c r="K32" s="79">
        <f t="shared" si="16"/>
        <v>32504.62</v>
      </c>
      <c r="L32" s="79">
        <f t="shared" si="16"/>
        <v>32677.4</v>
      </c>
      <c r="M32" s="79">
        <f t="shared" si="16"/>
        <v>28309.51</v>
      </c>
      <c r="N32" s="79">
        <f t="shared" si="16"/>
        <v>25413.16</v>
      </c>
      <c r="O32" s="79">
        <f t="shared" si="16"/>
        <v>237137.29</v>
      </c>
      <c r="P32" s="79">
        <f t="shared" si="16"/>
        <v>19839.439999999999</v>
      </c>
      <c r="Q32" s="79">
        <f t="shared" si="16"/>
        <v>18815.91</v>
      </c>
      <c r="R32" s="79">
        <f t="shared" si="2"/>
        <v>49991191.939999998</v>
      </c>
      <c r="S32" s="90">
        <f t="shared" si="14"/>
        <v>0</v>
      </c>
      <c r="T32" s="90">
        <f t="shared" si="15"/>
        <v>0</v>
      </c>
    </row>
    <row r="33" spans="1:18">
      <c r="A33" s="81" t="s">
        <v>755</v>
      </c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91"/>
    </row>
    <row r="35" spans="1:18">
      <c r="B35" s="83" t="s">
        <v>528</v>
      </c>
    </row>
    <row r="36" spans="1:18" ht="24">
      <c r="B36" s="84" t="s">
        <v>154</v>
      </c>
      <c r="C36" s="85">
        <f>IF(C7&gt;=(C8+C11),0,1)</f>
        <v>0</v>
      </c>
      <c r="D36" s="85"/>
      <c r="E36" s="85">
        <f t="shared" ref="E36:R36" si="17">IF(E7&gt;=(E8+E11),0,1)</f>
        <v>0</v>
      </c>
      <c r="F36" s="85">
        <f t="shared" si="17"/>
        <v>0</v>
      </c>
      <c r="G36" s="85">
        <f t="shared" si="17"/>
        <v>0</v>
      </c>
      <c r="H36" s="85">
        <f t="shared" si="17"/>
        <v>0</v>
      </c>
      <c r="I36" s="85">
        <f t="shared" si="17"/>
        <v>0</v>
      </c>
      <c r="J36" s="85">
        <f t="shared" si="17"/>
        <v>0</v>
      </c>
      <c r="K36" s="85">
        <f t="shared" si="17"/>
        <v>0</v>
      </c>
      <c r="L36" s="85">
        <f t="shared" si="17"/>
        <v>0</v>
      </c>
      <c r="M36" s="85">
        <f t="shared" si="17"/>
        <v>0</v>
      </c>
      <c r="N36" s="85">
        <f t="shared" si="17"/>
        <v>0</v>
      </c>
      <c r="O36" s="85">
        <f t="shared" si="17"/>
        <v>0</v>
      </c>
      <c r="P36" s="85">
        <f t="shared" si="17"/>
        <v>0</v>
      </c>
      <c r="Q36" s="85">
        <f t="shared" si="17"/>
        <v>0</v>
      </c>
      <c r="R36" s="85">
        <f t="shared" si="17"/>
        <v>0</v>
      </c>
    </row>
    <row r="37" spans="1:18">
      <c r="B37" s="84" t="s">
        <v>155</v>
      </c>
      <c r="C37" s="85">
        <f>ROUND(C22-SUM(C12:C21,C7),2)</f>
        <v>0</v>
      </c>
      <c r="D37" s="85"/>
      <c r="E37" s="85">
        <f t="shared" ref="E37:R37" si="18">ROUND(E22-SUM(E12:E21,E7),2)</f>
        <v>0</v>
      </c>
      <c r="F37" s="85">
        <f t="shared" si="18"/>
        <v>0</v>
      </c>
      <c r="G37" s="85">
        <f t="shared" si="18"/>
        <v>0</v>
      </c>
      <c r="H37" s="85">
        <f t="shared" si="18"/>
        <v>0</v>
      </c>
      <c r="I37" s="85">
        <f t="shared" si="18"/>
        <v>0</v>
      </c>
      <c r="J37" s="85">
        <f t="shared" si="18"/>
        <v>0</v>
      </c>
      <c r="K37" s="85">
        <f t="shared" si="18"/>
        <v>0</v>
      </c>
      <c r="L37" s="85">
        <f t="shared" si="18"/>
        <v>0</v>
      </c>
      <c r="M37" s="85">
        <f t="shared" si="18"/>
        <v>0</v>
      </c>
      <c r="N37" s="85">
        <f t="shared" si="18"/>
        <v>0</v>
      </c>
      <c r="O37" s="85">
        <f t="shared" si="18"/>
        <v>0</v>
      </c>
      <c r="P37" s="85">
        <f t="shared" si="18"/>
        <v>0</v>
      </c>
      <c r="Q37" s="85">
        <f t="shared" si="18"/>
        <v>0</v>
      </c>
      <c r="R37" s="85">
        <f t="shared" si="18"/>
        <v>0</v>
      </c>
    </row>
    <row r="38" spans="1:18">
      <c r="B38" s="84" t="s">
        <v>156</v>
      </c>
      <c r="C38" s="85">
        <f>ROUND(C28-C24-C25-C26-C27,2)</f>
        <v>0</v>
      </c>
      <c r="D38" s="85"/>
      <c r="E38" s="85">
        <f t="shared" ref="E38:R38" si="19">ROUND(E28-E24-E25-E26-E27,2)</f>
        <v>0</v>
      </c>
      <c r="F38" s="85">
        <f t="shared" si="19"/>
        <v>0</v>
      </c>
      <c r="G38" s="85">
        <f t="shared" si="19"/>
        <v>0</v>
      </c>
      <c r="H38" s="85">
        <f t="shared" si="19"/>
        <v>0</v>
      </c>
      <c r="I38" s="85">
        <f t="shared" si="19"/>
        <v>0</v>
      </c>
      <c r="J38" s="85">
        <f t="shared" si="19"/>
        <v>0</v>
      </c>
      <c r="K38" s="85">
        <f t="shared" si="19"/>
        <v>0</v>
      </c>
      <c r="L38" s="85">
        <f t="shared" si="19"/>
        <v>0</v>
      </c>
      <c r="M38" s="85">
        <f t="shared" si="19"/>
        <v>0</v>
      </c>
      <c r="N38" s="85">
        <f t="shared" si="19"/>
        <v>0</v>
      </c>
      <c r="O38" s="85">
        <f t="shared" si="19"/>
        <v>0</v>
      </c>
      <c r="P38" s="85">
        <f t="shared" si="19"/>
        <v>0</v>
      </c>
      <c r="Q38" s="85">
        <f t="shared" si="19"/>
        <v>0</v>
      </c>
      <c r="R38" s="85">
        <f t="shared" si="19"/>
        <v>0</v>
      </c>
    </row>
    <row r="39" spans="1:18">
      <c r="B39" s="84" t="s">
        <v>157</v>
      </c>
      <c r="C39" s="85">
        <f>ROUND(C29-C28-C22,2)</f>
        <v>0</v>
      </c>
      <c r="D39" s="85"/>
      <c r="E39" s="85">
        <f t="shared" ref="E39:R39" si="20">ROUND(E29-E28-E22,2)</f>
        <v>0</v>
      </c>
      <c r="F39" s="85">
        <f t="shared" si="20"/>
        <v>0</v>
      </c>
      <c r="G39" s="85">
        <f t="shared" si="20"/>
        <v>0</v>
      </c>
      <c r="H39" s="85">
        <f t="shared" si="20"/>
        <v>0</v>
      </c>
      <c r="I39" s="85">
        <f t="shared" si="20"/>
        <v>0</v>
      </c>
      <c r="J39" s="85">
        <f t="shared" si="20"/>
        <v>0</v>
      </c>
      <c r="K39" s="85">
        <f t="shared" si="20"/>
        <v>0</v>
      </c>
      <c r="L39" s="85">
        <f t="shared" si="20"/>
        <v>0</v>
      </c>
      <c r="M39" s="85">
        <f t="shared" si="20"/>
        <v>0</v>
      </c>
      <c r="N39" s="85">
        <f t="shared" si="20"/>
        <v>0</v>
      </c>
      <c r="O39" s="85">
        <f t="shared" si="20"/>
        <v>0</v>
      </c>
      <c r="P39" s="85">
        <f t="shared" si="20"/>
        <v>0</v>
      </c>
      <c r="Q39" s="85">
        <f t="shared" si="20"/>
        <v>0</v>
      </c>
      <c r="R39" s="85">
        <f t="shared" si="20"/>
        <v>0</v>
      </c>
    </row>
    <row r="40" spans="1:18">
      <c r="B40" s="84" t="s">
        <v>158</v>
      </c>
      <c r="C40" s="85">
        <f>ROUND(C32-C31-C29,2)</f>
        <v>0</v>
      </c>
      <c r="D40" s="85"/>
      <c r="E40" s="85">
        <f t="shared" ref="E40:R40" si="21">ROUND(E32-E31-E29,2)</f>
        <v>0</v>
      </c>
      <c r="F40" s="85">
        <f t="shared" si="21"/>
        <v>0</v>
      </c>
      <c r="G40" s="85">
        <f t="shared" si="21"/>
        <v>0</v>
      </c>
      <c r="H40" s="85">
        <f t="shared" si="21"/>
        <v>0</v>
      </c>
      <c r="I40" s="85">
        <f t="shared" si="21"/>
        <v>0</v>
      </c>
      <c r="J40" s="85">
        <f t="shared" si="21"/>
        <v>0</v>
      </c>
      <c r="K40" s="85">
        <f t="shared" si="21"/>
        <v>0</v>
      </c>
      <c r="L40" s="85">
        <f t="shared" si="21"/>
        <v>0</v>
      </c>
      <c r="M40" s="85">
        <f t="shared" si="21"/>
        <v>0</v>
      </c>
      <c r="N40" s="85">
        <f t="shared" si="21"/>
        <v>0</v>
      </c>
      <c r="O40" s="85">
        <f t="shared" si="21"/>
        <v>0</v>
      </c>
      <c r="P40" s="85">
        <f t="shared" si="21"/>
        <v>0</v>
      </c>
      <c r="Q40" s="85">
        <f t="shared" si="21"/>
        <v>0</v>
      </c>
      <c r="R40" s="85">
        <f t="shared" si="21"/>
        <v>0</v>
      </c>
    </row>
    <row r="41" spans="1:18"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</sheetData>
  <sheetProtection password="F79E" sheet="1" objects="1" scenarios="1"/>
  <phoneticPr fontId="83" type="noConversion"/>
  <hyperlinks>
    <hyperlink ref="A1" location="目录!A1" display="税费统计表"/>
  </hyperlinks>
  <pageMargins left="0.70763888888888904" right="0.70763888888888904" top="0.74791666666666701" bottom="0.74791666666666701" header="0.31388888888888899" footer="0.31388888888888899"/>
  <pageSetup paperSize="9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view="pageBreakPreview" zoomScaleNormal="100" zoomScaleSheetLayoutView="100" workbookViewId="0">
      <pane xSplit="3" ySplit="6" topLeftCell="D7" activePane="bottomRight" state="frozen"/>
      <selection pane="topRight"/>
      <selection pane="bottomLeft"/>
      <selection pane="bottomRight" activeCell="K24" sqref="K24"/>
    </sheetView>
  </sheetViews>
  <sheetFormatPr defaultColWidth="9" defaultRowHeight="14.25"/>
  <cols>
    <col min="1" max="1" width="6" customWidth="1"/>
    <col min="2" max="2" width="10.125" customWidth="1"/>
    <col min="3" max="3" width="20.125" customWidth="1"/>
    <col min="4" max="4" width="13.625" customWidth="1"/>
    <col min="5" max="6" width="16.125" customWidth="1"/>
    <col min="7" max="7" width="10.625" customWidth="1"/>
    <col min="8" max="8" width="11.875" customWidth="1"/>
    <col min="9" max="9" width="21.625" customWidth="1"/>
  </cols>
  <sheetData>
    <row r="1" spans="1:9" ht="18.75">
      <c r="A1" s="1" t="s">
        <v>756</v>
      </c>
    </row>
    <row r="2" spans="1:9">
      <c r="A2" s="2" t="str">
        <f>"编制单位："&amp;编制说明及审核公式!$C$2</f>
        <v>编制单位：上海丰泰置业有限公司</v>
      </c>
    </row>
    <row r="3" spans="1:9">
      <c r="A3" s="2" t="str">
        <f>"日期："&amp;编制说明及审核公式!$C$3</f>
        <v>日期：2020年12月</v>
      </c>
    </row>
    <row r="4" spans="1:9">
      <c r="A4" s="2" t="s">
        <v>175</v>
      </c>
    </row>
    <row r="5" spans="1:9" ht="22.5">
      <c r="A5" s="14" t="s">
        <v>757</v>
      </c>
      <c r="B5" s="14" t="s">
        <v>758</v>
      </c>
      <c r="C5" s="14" t="s">
        <v>759</v>
      </c>
      <c r="D5" s="14" t="s">
        <v>760</v>
      </c>
      <c r="E5" s="14" t="s">
        <v>761</v>
      </c>
      <c r="F5" s="55" t="s">
        <v>762</v>
      </c>
      <c r="G5" s="55" t="s">
        <v>763</v>
      </c>
      <c r="H5" s="14" t="s">
        <v>764</v>
      </c>
      <c r="I5" s="14" t="s">
        <v>765</v>
      </c>
    </row>
    <row r="6" spans="1:9" s="54" customFormat="1" ht="14.1" customHeight="1">
      <c r="A6" s="56"/>
      <c r="B6" s="56" t="s">
        <v>766</v>
      </c>
      <c r="C6" s="56"/>
      <c r="D6" s="57"/>
      <c r="E6" s="58"/>
      <c r="F6" s="58"/>
      <c r="G6" s="59">
        <f>SUM(G7:G21)</f>
        <v>0</v>
      </c>
      <c r="H6" s="59">
        <f>SUM(H7:H21)</f>
        <v>0</v>
      </c>
      <c r="I6" s="57"/>
    </row>
    <row r="7" spans="1:9">
      <c r="A7" s="19">
        <v>1</v>
      </c>
      <c r="B7" s="60"/>
      <c r="C7" s="61"/>
      <c r="D7" s="62"/>
      <c r="E7" s="63"/>
      <c r="F7" s="63"/>
      <c r="G7" s="46"/>
      <c r="H7" s="50"/>
      <c r="I7" s="62"/>
    </row>
    <row r="8" spans="1:9">
      <c r="A8" s="19">
        <v>2</v>
      </c>
      <c r="B8" s="60"/>
      <c r="C8" s="61"/>
      <c r="D8" s="62"/>
      <c r="E8" s="63"/>
      <c r="F8" s="63"/>
      <c r="G8" s="46"/>
      <c r="H8" s="50"/>
      <c r="I8" s="62"/>
    </row>
    <row r="9" spans="1:9">
      <c r="A9" s="19">
        <v>3</v>
      </c>
      <c r="B9" s="60"/>
      <c r="C9" s="61"/>
      <c r="D9" s="62"/>
      <c r="E9" s="63"/>
      <c r="F9" s="63"/>
      <c r="G9" s="46"/>
      <c r="H9" s="50"/>
      <c r="I9" s="62"/>
    </row>
    <row r="10" spans="1:9">
      <c r="A10" s="19">
        <v>4</v>
      </c>
      <c r="B10" s="60"/>
      <c r="C10" s="61"/>
      <c r="D10" s="62"/>
      <c r="E10" s="63"/>
      <c r="F10" s="63"/>
      <c r="G10" s="46"/>
      <c r="H10" s="50"/>
      <c r="I10" s="62"/>
    </row>
    <row r="11" spans="1:9">
      <c r="A11" s="19">
        <v>5</v>
      </c>
      <c r="B11" s="60"/>
      <c r="C11" s="61"/>
      <c r="D11" s="62"/>
      <c r="E11" s="63"/>
      <c r="F11" s="63"/>
      <c r="G11" s="46"/>
      <c r="H11" s="50"/>
      <c r="I11" s="62"/>
    </row>
    <row r="12" spans="1:9">
      <c r="A12" s="19">
        <v>6</v>
      </c>
      <c r="B12" s="60"/>
      <c r="C12" s="61"/>
      <c r="D12" s="62"/>
      <c r="E12" s="63"/>
      <c r="F12" s="63"/>
      <c r="G12" s="46"/>
      <c r="H12" s="50"/>
      <c r="I12" s="62"/>
    </row>
    <row r="13" spans="1:9">
      <c r="A13" s="19">
        <v>7</v>
      </c>
      <c r="B13" s="60"/>
      <c r="C13" s="61"/>
      <c r="D13" s="62"/>
      <c r="E13" s="63"/>
      <c r="F13" s="63"/>
      <c r="G13" s="46"/>
      <c r="H13" s="50"/>
      <c r="I13" s="62"/>
    </row>
    <row r="14" spans="1:9">
      <c r="A14" s="19">
        <v>8</v>
      </c>
      <c r="B14" s="60"/>
      <c r="C14" s="61"/>
      <c r="D14" s="62"/>
      <c r="E14" s="63"/>
      <c r="F14" s="63"/>
      <c r="G14" s="46"/>
      <c r="H14" s="50"/>
      <c r="I14" s="62"/>
    </row>
    <row r="15" spans="1:9">
      <c r="A15" s="19">
        <v>9</v>
      </c>
      <c r="B15" s="60"/>
      <c r="C15" s="61"/>
      <c r="D15" s="62"/>
      <c r="E15" s="63"/>
      <c r="F15" s="63"/>
      <c r="G15" s="46"/>
      <c r="H15" s="50"/>
      <c r="I15" s="62"/>
    </row>
    <row r="16" spans="1:9">
      <c r="A16" s="19">
        <v>10</v>
      </c>
      <c r="B16" s="60"/>
      <c r="C16" s="61"/>
      <c r="D16" s="62"/>
      <c r="E16" s="63"/>
      <c r="F16" s="63"/>
      <c r="G16" s="46"/>
      <c r="H16" s="50"/>
      <c r="I16" s="62"/>
    </row>
    <row r="17" spans="1:9">
      <c r="A17" s="19">
        <v>11</v>
      </c>
      <c r="B17" s="60"/>
      <c r="C17" s="61"/>
      <c r="D17" s="62"/>
      <c r="E17" s="63"/>
      <c r="F17" s="63"/>
      <c r="G17" s="46"/>
      <c r="H17" s="50"/>
      <c r="I17" s="62"/>
    </row>
    <row r="18" spans="1:9">
      <c r="A18" s="19">
        <v>12</v>
      </c>
      <c r="B18" s="60"/>
      <c r="C18" s="61"/>
      <c r="D18" s="62"/>
      <c r="E18" s="63"/>
      <c r="F18" s="63"/>
      <c r="G18" s="46"/>
      <c r="H18" s="50"/>
      <c r="I18" s="62"/>
    </row>
    <row r="19" spans="1:9">
      <c r="A19" s="19">
        <v>13</v>
      </c>
      <c r="B19" s="60"/>
      <c r="C19" s="61"/>
      <c r="D19" s="62"/>
      <c r="E19" s="63"/>
      <c r="F19" s="63"/>
      <c r="G19" s="46"/>
      <c r="H19" s="50"/>
      <c r="I19" s="62"/>
    </row>
    <row r="20" spans="1:9">
      <c r="A20" s="19">
        <v>14</v>
      </c>
      <c r="B20" s="60"/>
      <c r="C20" s="61"/>
      <c r="D20" s="62"/>
      <c r="E20" s="63"/>
      <c r="F20" s="63"/>
      <c r="G20" s="46"/>
      <c r="H20" s="50"/>
      <c r="I20" s="62"/>
    </row>
    <row r="21" spans="1:9">
      <c r="A21" s="28" t="s">
        <v>767</v>
      </c>
      <c r="B21" s="28"/>
      <c r="C21" s="28"/>
      <c r="D21" s="28"/>
      <c r="E21" s="28"/>
      <c r="F21" s="28"/>
      <c r="G21" s="28"/>
      <c r="H21" s="28"/>
      <c r="I21" s="28"/>
    </row>
  </sheetData>
  <phoneticPr fontId="83" type="noConversion"/>
  <dataValidations count="2">
    <dataValidation type="list" allowBlank="1" showInputMessage="1" showErrorMessage="1" error="请从下拉菜单选择" sqref="E7:E21">
      <formula1>"营业收入,营业成本,销售费用,管理费用,财务费用,投资收益"</formula1>
    </dataValidation>
    <dataValidation type="list" allowBlank="1" showInputMessage="1" showErrorMessage="1" error="请从下拉菜单选择" sqref="B7:B21">
      <formula1>"美瑞管理范围内,君康管理范围内,大集团内"</formula1>
    </dataValidation>
  </dataValidations>
  <hyperlinks>
    <hyperlink ref="A1" location="目录!A1" display="关联方交易表"/>
  </hyperlinks>
  <pageMargins left="0.70763888888888904" right="0.70763888888888904" top="0.74791666666666701" bottom="0.74791666666666701" header="0.31388888888888899" footer="0.31388888888888899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"/>
  <sheetViews>
    <sheetView view="pageBreakPreview" zoomScaleNormal="100" zoomScaleSheetLayoutView="100" workbookViewId="0">
      <pane xSplit="3" ySplit="7" topLeftCell="D8" activePane="bottomRight" state="frozen"/>
      <selection pane="topRight"/>
      <selection pane="bottomLeft"/>
      <selection pane="bottomRight" activeCell="AE30" sqref="AE30"/>
    </sheetView>
  </sheetViews>
  <sheetFormatPr defaultColWidth="9" defaultRowHeight="14.25" outlineLevelCol="1"/>
  <cols>
    <col min="1" max="1" width="5.875" customWidth="1"/>
    <col min="2" max="2" width="11.375" customWidth="1"/>
    <col min="3" max="3" width="22.625" customWidth="1"/>
    <col min="4" max="4" width="9.125" customWidth="1"/>
    <col min="5" max="5" width="8.75" hidden="1" customWidth="1"/>
    <col min="6" max="6" width="8.75" hidden="1" customWidth="1" outlineLevel="1"/>
    <col min="7" max="7" width="8.75" customWidth="1" collapsed="1"/>
    <col min="8" max="8" width="8.75" hidden="1" customWidth="1" outlineLevel="1"/>
    <col min="9" max="9" width="8.75" hidden="1" customWidth="1" collapsed="1"/>
    <col min="10" max="10" width="8.75" customWidth="1"/>
    <col min="11" max="12" width="8.75" hidden="1" customWidth="1" outlineLevel="1"/>
    <col min="13" max="13" width="11" hidden="1" customWidth="1" collapsed="1"/>
    <col min="14" max="14" width="12.375" hidden="1" customWidth="1" outlineLevel="1"/>
    <col min="15" max="15" width="8.75" customWidth="1" collapsed="1"/>
    <col min="16" max="16" width="8.75" customWidth="1"/>
    <col min="17" max="17" width="8.75" hidden="1" customWidth="1" outlineLevel="1"/>
    <col min="18" max="18" width="8.625" customWidth="1" collapsed="1"/>
    <col min="19" max="19" width="8.75" hidden="1" customWidth="1"/>
    <col min="20" max="20" width="8.75" hidden="1" customWidth="1" outlineLevel="1"/>
    <col min="21" max="21" width="8.75" hidden="1" customWidth="1" collapsed="1"/>
    <col min="22" max="22" width="8.75" hidden="1" customWidth="1" outlineLevel="1"/>
    <col min="23" max="23" width="8.625" hidden="1" customWidth="1" outlineLevel="1"/>
    <col min="24" max="24" width="9.875" hidden="1" customWidth="1" collapsed="1"/>
    <col min="25" max="25" width="12.125" hidden="1" customWidth="1" outlineLevel="1"/>
    <col min="26" max="26" width="8.625" collapsed="1"/>
  </cols>
  <sheetData>
    <row r="1" spans="1:25" ht="18.75">
      <c r="A1" s="1" t="s">
        <v>768</v>
      </c>
    </row>
    <row r="2" spans="1:25">
      <c r="A2" s="2" t="str">
        <f>"编制单位："&amp;编制说明及审核公式!$C$2</f>
        <v>编制单位：上海丰泰置业有限公司</v>
      </c>
    </row>
    <row r="3" spans="1:25">
      <c r="A3" s="2" t="str">
        <f>"日期："&amp;编制说明及审核公式!$C$3</f>
        <v>日期：2020年12月</v>
      </c>
    </row>
    <row r="4" spans="1:25">
      <c r="A4" s="2" t="s">
        <v>175</v>
      </c>
    </row>
    <row r="5" spans="1:25" ht="14.1" customHeight="1">
      <c r="A5" s="423" t="s">
        <v>769</v>
      </c>
      <c r="B5" s="423" t="s">
        <v>758</v>
      </c>
      <c r="C5" s="423" t="s">
        <v>759</v>
      </c>
      <c r="D5" s="421" t="s">
        <v>770</v>
      </c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1" t="s">
        <v>771</v>
      </c>
      <c r="P5" s="422"/>
      <c r="Q5" s="422"/>
      <c r="R5" s="422"/>
      <c r="S5" s="422"/>
      <c r="T5" s="422"/>
      <c r="U5" s="422"/>
      <c r="V5" s="422"/>
      <c r="W5" s="422"/>
      <c r="X5" s="422"/>
      <c r="Y5" s="422"/>
    </row>
    <row r="6" spans="1:25" ht="36">
      <c r="A6" s="424"/>
      <c r="B6" s="424"/>
      <c r="C6" s="424"/>
      <c r="D6" s="43" t="s">
        <v>772</v>
      </c>
      <c r="E6" s="15"/>
      <c r="F6" s="15" t="s">
        <v>773</v>
      </c>
      <c r="G6" s="15" t="s">
        <v>774</v>
      </c>
      <c r="H6" s="15" t="s">
        <v>775</v>
      </c>
      <c r="I6" s="15"/>
      <c r="J6" s="15" t="s">
        <v>776</v>
      </c>
      <c r="K6" s="15" t="s">
        <v>777</v>
      </c>
      <c r="L6" s="15" t="s">
        <v>778</v>
      </c>
      <c r="M6" s="15"/>
      <c r="N6" s="15" t="s">
        <v>779</v>
      </c>
      <c r="O6" s="15" t="s">
        <v>780</v>
      </c>
      <c r="P6" s="15" t="s">
        <v>781</v>
      </c>
      <c r="Q6" s="15" t="s">
        <v>782</v>
      </c>
      <c r="R6" s="15" t="s">
        <v>783</v>
      </c>
      <c r="S6" s="15"/>
      <c r="T6" s="15"/>
      <c r="U6" s="15"/>
      <c r="V6" s="15" t="s">
        <v>784</v>
      </c>
      <c r="W6" s="15" t="s">
        <v>785</v>
      </c>
      <c r="X6" s="15"/>
      <c r="Y6" s="15" t="s">
        <v>786</v>
      </c>
    </row>
    <row r="7" spans="1:25" s="41" customFormat="1" ht="12.75">
      <c r="A7" s="16"/>
      <c r="B7" s="44" t="s">
        <v>766</v>
      </c>
      <c r="C7" s="16"/>
      <c r="D7" s="18">
        <f t="shared" ref="D7:Y7" si="0">SUM(D8:D22)</f>
        <v>0</v>
      </c>
      <c r="E7" s="18">
        <f t="shared" si="0"/>
        <v>0</v>
      </c>
      <c r="F7" s="18">
        <f t="shared" ref="F7" si="1">SUM(F8:F22)</f>
        <v>0</v>
      </c>
      <c r="G7" s="18">
        <f t="shared" si="0"/>
        <v>0</v>
      </c>
      <c r="H7" s="18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8">
        <f t="shared" si="0"/>
        <v>0</v>
      </c>
      <c r="M7" s="18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8">
        <f t="shared" si="0"/>
        <v>0</v>
      </c>
      <c r="R7" s="18">
        <f t="shared" si="0"/>
        <v>217081630.97</v>
      </c>
      <c r="S7" s="18">
        <f t="shared" si="0"/>
        <v>0</v>
      </c>
      <c r="T7" s="18">
        <f t="shared" si="0"/>
        <v>0</v>
      </c>
      <c r="U7" s="18">
        <f t="shared" si="0"/>
        <v>0</v>
      </c>
      <c r="V7" s="18">
        <f t="shared" si="0"/>
        <v>0</v>
      </c>
      <c r="W7" s="18">
        <f t="shared" si="0"/>
        <v>0</v>
      </c>
      <c r="X7" s="18">
        <f t="shared" si="0"/>
        <v>0</v>
      </c>
      <c r="Y7" s="51">
        <f t="shared" si="0"/>
        <v>0</v>
      </c>
    </row>
    <row r="8" spans="1:25">
      <c r="A8" s="19">
        <v>1</v>
      </c>
      <c r="B8" s="20" t="s">
        <v>787</v>
      </c>
      <c r="C8" s="45" t="s">
        <v>788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>
        <f>135621326.53+3000000+4000000+1550000+1650000+35000000+1220000+1370000+14042000+1000000+1000000+17628304.44</f>
        <v>217081630.97</v>
      </c>
      <c r="S8" s="46"/>
      <c r="T8" s="46"/>
      <c r="U8" s="46"/>
      <c r="V8" s="46"/>
      <c r="W8" s="46"/>
      <c r="X8" s="46"/>
      <c r="Y8" s="52"/>
    </row>
    <row r="9" spans="1:25">
      <c r="A9" s="19">
        <v>2</v>
      </c>
      <c r="B9" s="20"/>
      <c r="C9" s="45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52"/>
    </row>
    <row r="10" spans="1:25">
      <c r="A10" s="19">
        <v>3</v>
      </c>
      <c r="B10" s="20"/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52"/>
    </row>
    <row r="11" spans="1:25">
      <c r="A11" s="19">
        <v>4</v>
      </c>
      <c r="B11" s="20"/>
      <c r="C11" s="48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52"/>
    </row>
    <row r="12" spans="1:25">
      <c r="A12" s="19">
        <v>5</v>
      </c>
      <c r="B12" s="2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52"/>
    </row>
    <row r="13" spans="1:25">
      <c r="A13" s="19">
        <v>6</v>
      </c>
      <c r="B13" s="20"/>
      <c r="C13" s="48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52"/>
    </row>
    <row r="14" spans="1:25">
      <c r="A14" s="19">
        <v>7</v>
      </c>
      <c r="B14" s="20"/>
      <c r="C14" s="48"/>
      <c r="D14" s="49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52"/>
    </row>
    <row r="15" spans="1:25">
      <c r="A15" s="19">
        <v>8</v>
      </c>
      <c r="B15" s="20"/>
      <c r="C15" s="48"/>
      <c r="D15" s="49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52"/>
    </row>
    <row r="16" spans="1:25">
      <c r="A16" s="19">
        <v>9</v>
      </c>
      <c r="B16" s="20"/>
      <c r="C16" s="48"/>
      <c r="D16" s="49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52"/>
    </row>
    <row r="17" spans="1:25">
      <c r="A17" s="19">
        <v>10</v>
      </c>
      <c r="B17" s="20"/>
      <c r="C17" s="48"/>
      <c r="D17" s="49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52"/>
    </row>
    <row r="18" spans="1:25">
      <c r="A18" s="19">
        <v>11</v>
      </c>
      <c r="B18" s="20"/>
      <c r="C18" s="48"/>
      <c r="D18" s="49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52"/>
    </row>
    <row r="19" spans="1:25">
      <c r="A19" s="19">
        <v>12</v>
      </c>
      <c r="B19" s="20"/>
      <c r="C19" s="48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33"/>
      <c r="R19" s="46"/>
      <c r="S19" s="46"/>
      <c r="T19" s="46"/>
      <c r="U19" s="46"/>
      <c r="V19" s="46"/>
      <c r="W19" s="46"/>
      <c r="X19" s="46"/>
      <c r="Y19" s="52"/>
    </row>
    <row r="20" spans="1:25">
      <c r="A20" s="19">
        <v>13</v>
      </c>
      <c r="B20" s="20"/>
      <c r="C20" s="48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33"/>
      <c r="R20" s="46"/>
      <c r="S20" s="46"/>
      <c r="T20" s="46"/>
      <c r="U20" s="46"/>
      <c r="V20" s="46"/>
      <c r="W20" s="46"/>
      <c r="X20" s="46"/>
      <c r="Y20" s="52"/>
    </row>
    <row r="21" spans="1:25">
      <c r="A21" s="19">
        <v>14</v>
      </c>
      <c r="B21" s="20"/>
      <c r="C21" s="48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33"/>
      <c r="R21" s="46"/>
      <c r="S21" s="46"/>
      <c r="T21" s="46"/>
      <c r="U21" s="46"/>
      <c r="V21" s="46"/>
      <c r="W21" s="46"/>
      <c r="X21" s="46"/>
      <c r="Y21" s="52"/>
    </row>
    <row r="22" spans="1:25" s="42" customFormat="1">
      <c r="A22" s="28" t="s">
        <v>767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50"/>
      <c r="T22" s="50"/>
      <c r="U22" s="50"/>
      <c r="V22" s="50"/>
      <c r="W22" s="50"/>
      <c r="X22" s="50"/>
      <c r="Y22" s="53"/>
    </row>
  </sheetData>
  <mergeCells count="5">
    <mergeCell ref="D5:N5"/>
    <mergeCell ref="O5:Y5"/>
    <mergeCell ref="A5:A6"/>
    <mergeCell ref="B5:B6"/>
    <mergeCell ref="C5:C6"/>
  </mergeCells>
  <phoneticPr fontId="83" type="noConversion"/>
  <dataValidations count="1">
    <dataValidation type="list" allowBlank="1" showInputMessage="1" showErrorMessage="1" error="请从下拉菜单选择" sqref="B8:B22">
      <formula1>"美瑞管理范围内,君康管理范围内,大集团内"</formula1>
    </dataValidation>
  </dataValidations>
  <hyperlinks>
    <hyperlink ref="A1" location="目录!A1" display="关联方往来款表"/>
  </hyperlinks>
  <pageMargins left="0.70763888888888904" right="0.70763888888888904" top="0.74791666666666701" bottom="0.74791666666666701" header="0.31388888888888899" footer="0.31388888888888899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"/>
  <sheetViews>
    <sheetView view="pageBreakPreview" zoomScaleNormal="100" zoomScaleSheetLayoutView="100" workbookViewId="0">
      <pane xSplit="3" ySplit="6" topLeftCell="D7" activePane="bottomRight" state="frozen"/>
      <selection pane="topRight"/>
      <selection pane="bottomLeft"/>
      <selection pane="bottomRight" activeCell="AD28" sqref="AD28"/>
    </sheetView>
  </sheetViews>
  <sheetFormatPr defaultColWidth="9" defaultRowHeight="14.25" outlineLevelCol="1"/>
  <cols>
    <col min="1" max="1" width="4.875" customWidth="1"/>
    <col min="2" max="2" width="10.5" customWidth="1"/>
    <col min="3" max="3" width="17.875" style="13" customWidth="1"/>
    <col min="4" max="6" width="8.75" customWidth="1"/>
    <col min="7" max="9" width="8.625" hidden="1" customWidth="1" outlineLevel="1"/>
    <col min="10" max="10" width="8.75" customWidth="1" collapsed="1"/>
    <col min="11" max="13" width="8.625" hidden="1" customWidth="1" outlineLevel="1"/>
    <col min="14" max="14" width="9.75" hidden="1" customWidth="1" outlineLevel="1"/>
    <col min="15" max="15" width="8.625" hidden="1" customWidth="1" outlineLevel="1"/>
    <col min="16" max="16" width="8.75" customWidth="1" collapsed="1"/>
    <col min="17" max="17" width="8.75" customWidth="1"/>
    <col min="18" max="19" width="8.625" hidden="1" customWidth="1" outlineLevel="1"/>
    <col min="20" max="20" width="8.75" customWidth="1" collapsed="1"/>
    <col min="21" max="21" width="11.875" customWidth="1"/>
    <col min="22" max="22" width="8.75" customWidth="1"/>
    <col min="23" max="25" width="8.625" hidden="1" customWidth="1" outlineLevel="1"/>
    <col min="26" max="26" width="8.75" customWidth="1" collapsed="1"/>
    <col min="27" max="27" width="8.75" customWidth="1"/>
    <col min="28" max="28" width="8.625" hidden="1" customWidth="1" outlineLevel="1"/>
    <col min="29" max="29" width="13.625" customWidth="1" collapsed="1"/>
  </cols>
  <sheetData>
    <row r="1" spans="1:28" ht="18.75">
      <c r="A1" s="1" t="s">
        <v>789</v>
      </c>
    </row>
    <row r="2" spans="1:28">
      <c r="A2" s="2" t="str">
        <f>"编制单位："&amp;编制说明及审核公式!$C$2</f>
        <v>编制单位：上海丰泰置业有限公司</v>
      </c>
    </row>
    <row r="3" spans="1:28">
      <c r="A3" s="2" t="str">
        <f>"日期："&amp;编制说明及审核公式!$C$3</f>
        <v>日期：2020年12月</v>
      </c>
    </row>
    <row r="4" spans="1:28">
      <c r="A4" s="2" t="s">
        <v>175</v>
      </c>
    </row>
    <row r="5" spans="1:28" ht="38.25">
      <c r="A5" s="14" t="s">
        <v>769</v>
      </c>
      <c r="B5" s="14" t="s">
        <v>758</v>
      </c>
      <c r="C5" s="14" t="s">
        <v>759</v>
      </c>
      <c r="D5" s="15" t="s">
        <v>790</v>
      </c>
      <c r="E5" s="15" t="s">
        <v>791</v>
      </c>
      <c r="F5" s="15" t="s">
        <v>792</v>
      </c>
      <c r="G5" s="15" t="s">
        <v>793</v>
      </c>
      <c r="H5" s="15" t="s">
        <v>794</v>
      </c>
      <c r="I5" s="15" t="s">
        <v>795</v>
      </c>
      <c r="J5" s="15" t="s">
        <v>796</v>
      </c>
      <c r="K5" s="15" t="s">
        <v>797</v>
      </c>
      <c r="L5" s="15" t="s">
        <v>798</v>
      </c>
      <c r="M5" s="15" t="s">
        <v>799</v>
      </c>
      <c r="N5" s="15" t="s">
        <v>800</v>
      </c>
      <c r="O5" s="15" t="s">
        <v>801</v>
      </c>
      <c r="P5" s="15" t="s">
        <v>802</v>
      </c>
      <c r="Q5" s="34" t="s">
        <v>803</v>
      </c>
      <c r="R5" s="15" t="s">
        <v>804</v>
      </c>
      <c r="S5" s="15" t="s">
        <v>805</v>
      </c>
      <c r="T5" s="15" t="s">
        <v>806</v>
      </c>
      <c r="U5" s="35" t="s">
        <v>807</v>
      </c>
      <c r="V5" s="36" t="s">
        <v>808</v>
      </c>
      <c r="W5" s="36" t="s">
        <v>809</v>
      </c>
      <c r="X5" s="36" t="s">
        <v>810</v>
      </c>
      <c r="Y5" s="36" t="s">
        <v>811</v>
      </c>
      <c r="Z5" s="36" t="s">
        <v>812</v>
      </c>
      <c r="AA5" s="36" t="s">
        <v>813</v>
      </c>
      <c r="AB5" s="38" t="s">
        <v>814</v>
      </c>
    </row>
    <row r="6" spans="1:28" s="12" customFormat="1" ht="12.75">
      <c r="A6" s="16"/>
      <c r="B6" s="16" t="s">
        <v>815</v>
      </c>
      <c r="C6" s="17"/>
      <c r="D6" s="18">
        <f t="shared" ref="D6:AB6" si="0">SUM(D7:D21)</f>
        <v>0</v>
      </c>
      <c r="E6" s="18">
        <f t="shared" si="0"/>
        <v>97161880.180000007</v>
      </c>
      <c r="F6" s="18">
        <f t="shared" si="0"/>
        <v>0</v>
      </c>
      <c r="G6" s="18">
        <f t="shared" si="0"/>
        <v>0</v>
      </c>
      <c r="H6" s="18">
        <f t="shared" si="0"/>
        <v>0</v>
      </c>
      <c r="I6" s="18">
        <f t="shared" si="0"/>
        <v>0</v>
      </c>
      <c r="J6" s="18">
        <f t="shared" si="0"/>
        <v>0</v>
      </c>
      <c r="K6" s="18">
        <f t="shared" si="0"/>
        <v>0</v>
      </c>
      <c r="L6" s="18">
        <f t="shared" si="0"/>
        <v>0</v>
      </c>
      <c r="M6" s="18">
        <f t="shared" si="0"/>
        <v>0</v>
      </c>
      <c r="N6" s="18">
        <f t="shared" si="0"/>
        <v>0</v>
      </c>
      <c r="O6" s="18">
        <f t="shared" si="0"/>
        <v>0</v>
      </c>
      <c r="P6" s="18">
        <f t="shared" si="0"/>
        <v>0</v>
      </c>
      <c r="Q6" s="18">
        <f t="shared" si="0"/>
        <v>39216799.740000002</v>
      </c>
      <c r="R6" s="18">
        <f t="shared" si="0"/>
        <v>0</v>
      </c>
      <c r="S6" s="18">
        <f t="shared" si="0"/>
        <v>0</v>
      </c>
      <c r="T6" s="18">
        <f t="shared" si="0"/>
        <v>0</v>
      </c>
      <c r="U6" s="18">
        <f t="shared" si="0"/>
        <v>0</v>
      </c>
      <c r="V6" s="18">
        <f t="shared" si="0"/>
        <v>0</v>
      </c>
      <c r="W6" s="18">
        <f t="shared" si="0"/>
        <v>0</v>
      </c>
      <c r="X6" s="18">
        <f t="shared" si="0"/>
        <v>0</v>
      </c>
      <c r="Y6" s="18">
        <f t="shared" si="0"/>
        <v>0</v>
      </c>
      <c r="Z6" s="18">
        <f t="shared" si="0"/>
        <v>0</v>
      </c>
      <c r="AA6" s="18">
        <f t="shared" si="0"/>
        <v>0</v>
      </c>
      <c r="AB6" s="39">
        <f t="shared" si="0"/>
        <v>0</v>
      </c>
    </row>
    <row r="7" spans="1:28" ht="22.5">
      <c r="A7" s="19">
        <v>1</v>
      </c>
      <c r="B7" s="20" t="s">
        <v>787</v>
      </c>
      <c r="C7" s="21" t="s">
        <v>788</v>
      </c>
      <c r="D7" s="22"/>
      <c r="E7" s="23">
        <f>2000000+3000000+4000000+1550000+13701575.74+1650000+35000000+1220000+14042000+1370000+1000000+1000000+17628304.44</f>
        <v>97161880.180000007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3">
        <f>25515224+13701575.74</f>
        <v>39216799.740000002</v>
      </c>
      <c r="R7" s="22"/>
      <c r="S7" s="22"/>
      <c r="T7" s="22"/>
      <c r="U7" s="22"/>
      <c r="V7" s="22"/>
      <c r="W7" s="22"/>
      <c r="X7" s="22"/>
      <c r="Y7" s="22"/>
      <c r="Z7" s="22"/>
      <c r="AA7" s="22"/>
      <c r="AB7" s="40"/>
    </row>
    <row r="8" spans="1:28">
      <c r="A8" s="19">
        <v>2</v>
      </c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37"/>
      <c r="R8" s="22"/>
      <c r="S8" s="22"/>
      <c r="T8" s="22"/>
      <c r="U8" s="22"/>
      <c r="V8" s="22"/>
      <c r="W8" s="22"/>
      <c r="X8" s="22"/>
      <c r="Y8" s="22"/>
      <c r="Z8" s="22"/>
      <c r="AA8" s="22"/>
      <c r="AB8" s="40"/>
    </row>
    <row r="9" spans="1:28">
      <c r="A9" s="19">
        <v>3</v>
      </c>
      <c r="B9" s="20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3"/>
      <c r="R9" s="22"/>
      <c r="S9" s="22"/>
      <c r="T9" s="22"/>
      <c r="U9" s="22"/>
      <c r="V9" s="22"/>
      <c r="W9" s="22"/>
      <c r="X9" s="22"/>
      <c r="Y9" s="22"/>
      <c r="Z9" s="22"/>
      <c r="AA9" s="22"/>
      <c r="AB9" s="40"/>
    </row>
    <row r="10" spans="1:28">
      <c r="A10" s="19">
        <v>4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3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40"/>
    </row>
    <row r="11" spans="1:28">
      <c r="A11" s="19">
        <v>5</v>
      </c>
      <c r="B11" s="20"/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3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40"/>
    </row>
    <row r="12" spans="1:28">
      <c r="A12" s="19">
        <v>6</v>
      </c>
      <c r="B12" s="20"/>
      <c r="C12" s="24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3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40"/>
    </row>
    <row r="13" spans="1:28">
      <c r="A13" s="19">
        <v>7</v>
      </c>
      <c r="B13" s="20"/>
      <c r="C13" s="24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3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40"/>
    </row>
    <row r="14" spans="1:28">
      <c r="A14" s="19">
        <v>8</v>
      </c>
      <c r="B14" s="20"/>
      <c r="C14" s="25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3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40"/>
    </row>
    <row r="15" spans="1:28">
      <c r="A15" s="19">
        <v>9</v>
      </c>
      <c r="B15" s="20"/>
      <c r="C15" s="25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3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40"/>
    </row>
    <row r="16" spans="1:28">
      <c r="A16" s="19">
        <v>10</v>
      </c>
      <c r="B16" s="20"/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3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40"/>
    </row>
    <row r="17" spans="1:28">
      <c r="A17" s="19">
        <v>11</v>
      </c>
      <c r="B17" s="20"/>
      <c r="C17" s="25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3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40"/>
    </row>
    <row r="18" spans="1:28">
      <c r="A18" s="19">
        <v>12</v>
      </c>
      <c r="B18" s="20"/>
      <c r="C18" s="25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40"/>
    </row>
    <row r="19" spans="1:28">
      <c r="A19" s="19">
        <v>13</v>
      </c>
      <c r="B19" s="20"/>
      <c r="C19" s="26"/>
      <c r="D19" s="22"/>
      <c r="E19" s="27"/>
      <c r="F19" s="22"/>
      <c r="G19" s="22"/>
      <c r="H19" s="22"/>
      <c r="I19" s="22"/>
      <c r="J19" s="22"/>
      <c r="K19" s="22"/>
      <c r="L19" s="33"/>
      <c r="M19" s="22"/>
      <c r="N19" s="22"/>
      <c r="O19" s="22"/>
      <c r="P19" s="22"/>
      <c r="Q19" s="22"/>
      <c r="R19" s="22"/>
      <c r="S19" s="22"/>
      <c r="T19" s="22"/>
      <c r="U19" s="33"/>
      <c r="V19" s="22"/>
      <c r="W19" s="22"/>
      <c r="X19" s="22"/>
      <c r="Y19" s="22"/>
      <c r="Z19" s="22"/>
      <c r="AA19" s="22"/>
      <c r="AB19" s="40"/>
    </row>
    <row r="20" spans="1:28">
      <c r="A20" s="19">
        <v>14</v>
      </c>
      <c r="B20" s="20"/>
      <c r="C20" s="26"/>
      <c r="D20" s="22"/>
      <c r="E20" s="27"/>
      <c r="F20" s="22"/>
      <c r="G20" s="22"/>
      <c r="H20" s="22"/>
      <c r="I20" s="22"/>
      <c r="J20" s="22"/>
      <c r="K20" s="22"/>
      <c r="L20" s="33"/>
      <c r="M20" s="22"/>
      <c r="N20" s="22"/>
      <c r="O20" s="22"/>
      <c r="P20" s="22"/>
      <c r="Q20" s="22"/>
      <c r="R20" s="22"/>
      <c r="S20" s="22"/>
      <c r="T20" s="22"/>
      <c r="U20" s="33"/>
      <c r="V20" s="22"/>
      <c r="W20" s="22"/>
      <c r="X20" s="22"/>
      <c r="Y20" s="22"/>
      <c r="Z20" s="22"/>
      <c r="AA20" s="22"/>
      <c r="AB20" s="40"/>
    </row>
    <row r="21" spans="1:28">
      <c r="A21" s="28" t="s">
        <v>722</v>
      </c>
      <c r="B21" s="29"/>
      <c r="C21" s="30"/>
      <c r="D21" s="31"/>
      <c r="E21" s="32"/>
      <c r="F21" s="31"/>
      <c r="G21" s="31"/>
      <c r="H21" s="31"/>
      <c r="I21" s="31"/>
      <c r="J21" s="31"/>
      <c r="K21" s="31"/>
      <c r="L21" s="32"/>
      <c r="M21" s="31"/>
      <c r="N21" s="31"/>
      <c r="O21" s="31"/>
      <c r="P21" s="31"/>
      <c r="Q21" s="31"/>
      <c r="R21" s="31"/>
      <c r="S21" s="31"/>
      <c r="T21" s="31"/>
      <c r="U21" s="32"/>
      <c r="V21" s="31"/>
      <c r="W21" s="31"/>
      <c r="X21" s="31"/>
      <c r="Y21" s="31"/>
      <c r="Z21" s="31"/>
      <c r="AA21" s="31"/>
      <c r="AB21" s="40"/>
    </row>
  </sheetData>
  <phoneticPr fontId="83" type="noConversion"/>
  <dataValidations count="2">
    <dataValidation type="list" allowBlank="1" showInputMessage="1" showErrorMessage="1" sqref="U5">
      <formula1>$U$2:$U$10</formula1>
    </dataValidation>
    <dataValidation type="list" allowBlank="1" showInputMessage="1" showErrorMessage="1" error="请从下拉菜单选择" sqref="B7:B21">
      <formula1>"美瑞管理范围内,君康管理范围内,大集团内"</formula1>
    </dataValidation>
  </dataValidations>
  <hyperlinks>
    <hyperlink ref="A1" location="目录!A1" display="关联方现金流表"/>
  </hyperlinks>
  <pageMargins left="0.70763888888888904" right="0.70763888888888904" top="0.74791666666666701" bottom="0.74791666666666701" header="0.31388888888888899" footer="0.31388888888888899"/>
  <pageSetup paperSize="9" scale="9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"/>
  <sheetViews>
    <sheetView view="pageBreakPreview" zoomScaleNormal="100" zoomScaleSheetLayoutView="100" workbookViewId="0">
      <selection activeCell="L25" sqref="L25"/>
    </sheetView>
  </sheetViews>
  <sheetFormatPr defaultColWidth="9" defaultRowHeight="14.25"/>
  <cols>
    <col min="1" max="2" width="12.125" customWidth="1"/>
    <col min="3" max="3" width="59.375" customWidth="1"/>
  </cols>
  <sheetData>
    <row r="1" spans="1:3" ht="18.75">
      <c r="A1" s="1" t="s">
        <v>816</v>
      </c>
      <c r="B1" s="1"/>
    </row>
    <row r="2" spans="1:3">
      <c r="A2" s="2" t="str">
        <f>"编制单位："&amp;编制说明及审核公式!$C$2</f>
        <v>编制单位：上海丰泰置业有限公司</v>
      </c>
      <c r="B2" s="2"/>
    </row>
    <row r="3" spans="1:3">
      <c r="A3" s="2" t="str">
        <f>"日期："&amp;编制说明及审核公式!$C$3</f>
        <v>日期：2020年12月</v>
      </c>
      <c r="B3" s="2"/>
    </row>
    <row r="4" spans="1:3" ht="12.95" customHeight="1">
      <c r="A4" s="3" t="s">
        <v>817</v>
      </c>
      <c r="B4" s="2"/>
    </row>
    <row r="5" spans="1:3" ht="20.45" customHeight="1">
      <c r="A5" s="4" t="s">
        <v>818</v>
      </c>
      <c r="B5" s="5" t="s">
        <v>819</v>
      </c>
      <c r="C5" s="6" t="s">
        <v>820</v>
      </c>
    </row>
    <row r="6" spans="1:3" ht="24" customHeight="1">
      <c r="A6" s="7">
        <v>1</v>
      </c>
      <c r="B6" s="8"/>
      <c r="C6" s="9"/>
    </row>
    <row r="7" spans="1:3" ht="24" customHeight="1">
      <c r="A7" s="7">
        <v>2</v>
      </c>
      <c r="B7" s="8"/>
      <c r="C7" s="10"/>
    </row>
    <row r="8" spans="1:3" ht="24" customHeight="1">
      <c r="A8" s="7">
        <v>3</v>
      </c>
      <c r="B8" s="8"/>
      <c r="C8" s="9"/>
    </row>
    <row r="9" spans="1:3" ht="24" customHeight="1">
      <c r="A9" s="7">
        <v>4</v>
      </c>
      <c r="B9" s="8"/>
      <c r="C9" s="9"/>
    </row>
    <row r="10" spans="1:3" ht="24" customHeight="1">
      <c r="A10" s="7">
        <v>5</v>
      </c>
      <c r="B10" s="8"/>
      <c r="C10" s="9"/>
    </row>
    <row r="11" spans="1:3" ht="24" customHeight="1">
      <c r="A11" s="7">
        <v>6</v>
      </c>
      <c r="B11" s="8"/>
      <c r="C11" s="9"/>
    </row>
    <row r="12" spans="1:3">
      <c r="C12" s="11"/>
    </row>
    <row r="13" spans="1:3">
      <c r="A13" s="2"/>
    </row>
    <row r="14" spans="1:3">
      <c r="A14" s="2"/>
    </row>
  </sheetData>
  <phoneticPr fontId="83" type="noConversion"/>
  <hyperlinks>
    <hyperlink ref="A1" location="目录!A1" display="其他工作事项"/>
  </hyperlinks>
  <pageMargins left="0.70763888888888904" right="0.70763888888888904" top="0.74791666666666701" bottom="0.74791666666666701" header="0.31388888888888899" footer="0.313888888888888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29" sqref="E29"/>
    </sheetView>
  </sheetViews>
  <sheetFormatPr defaultColWidth="9" defaultRowHeight="15"/>
  <cols>
    <col min="1" max="1" width="10.375" style="338" customWidth="1"/>
    <col min="2" max="2" width="29.875" style="338" customWidth="1"/>
    <col min="3" max="16384" width="9" style="338"/>
  </cols>
  <sheetData>
    <row r="1" spans="1:2" ht="19.5">
      <c r="A1" s="387" t="s">
        <v>159</v>
      </c>
      <c r="B1" s="387"/>
    </row>
    <row r="2" spans="1:2" ht="8.1" customHeight="1"/>
    <row r="3" spans="1:2">
      <c r="A3" s="339" t="s">
        <v>160</v>
      </c>
      <c r="B3" s="340" t="s">
        <v>161</v>
      </c>
    </row>
    <row r="4" spans="1:2" ht="15.6" customHeight="1">
      <c r="A4" s="341">
        <v>1</v>
      </c>
      <c r="B4" s="342" t="s">
        <v>162</v>
      </c>
    </row>
    <row r="5" spans="1:2" ht="15.6" customHeight="1">
      <c r="A5" s="341">
        <v>2</v>
      </c>
      <c r="B5" s="342" t="s">
        <v>163</v>
      </c>
    </row>
    <row r="6" spans="1:2" ht="15.6" customHeight="1">
      <c r="A6" s="341">
        <v>3</v>
      </c>
      <c r="B6" s="342" t="s">
        <v>164</v>
      </c>
    </row>
    <row r="7" spans="1:2" ht="15.6" customHeight="1">
      <c r="A7" s="341">
        <v>4</v>
      </c>
      <c r="B7" s="342" t="s">
        <v>165</v>
      </c>
    </row>
    <row r="8" spans="1:2" ht="15.6" customHeight="1">
      <c r="A8" s="341">
        <v>5</v>
      </c>
      <c r="B8" s="342" t="s">
        <v>166</v>
      </c>
    </row>
    <row r="9" spans="1:2" ht="15.6" customHeight="1">
      <c r="A9" s="341">
        <v>6</v>
      </c>
      <c r="B9" s="343" t="s">
        <v>167</v>
      </c>
    </row>
    <row r="10" spans="1:2" ht="15.6" customHeight="1">
      <c r="A10" s="341">
        <v>7</v>
      </c>
      <c r="B10" s="343" t="s">
        <v>168</v>
      </c>
    </row>
    <row r="11" spans="1:2" ht="15.6" customHeight="1">
      <c r="A11" s="341">
        <v>8</v>
      </c>
      <c r="B11" s="342" t="s">
        <v>169</v>
      </c>
    </row>
    <row r="12" spans="1:2" ht="15.6" customHeight="1">
      <c r="A12" s="341">
        <v>9.1</v>
      </c>
      <c r="B12" s="342" t="s">
        <v>170</v>
      </c>
    </row>
    <row r="13" spans="1:2" ht="15.6" customHeight="1">
      <c r="A13" s="341">
        <v>9.1999999999999993</v>
      </c>
      <c r="B13" s="342" t="s">
        <v>171</v>
      </c>
    </row>
    <row r="14" spans="1:2" ht="15.6" customHeight="1">
      <c r="A14" s="341">
        <v>9.3000000000000007</v>
      </c>
      <c r="B14" s="342" t="s">
        <v>172</v>
      </c>
    </row>
    <row r="15" spans="1:2" ht="15.6" customHeight="1">
      <c r="A15" s="341">
        <v>10</v>
      </c>
      <c r="B15" s="342" t="s">
        <v>173</v>
      </c>
    </row>
    <row r="16" spans="1:2">
      <c r="B16" s="344"/>
    </row>
  </sheetData>
  <sortState ref="A4:B19">
    <sortCondition ref="A4:A19"/>
  </sortState>
  <mergeCells count="1">
    <mergeCell ref="A1:B1"/>
  </mergeCells>
  <phoneticPr fontId="83" type="noConversion"/>
  <hyperlinks>
    <hyperlink ref="B4" location="'1 资产负债表'!A1" display="资产负债表"/>
    <hyperlink ref="B5" location="'2 利润表'!A1" display="会计利润表"/>
    <hyperlink ref="B6" location="'3 现金流量表'!A1" display="现金流量表"/>
    <hyperlink ref="B12" location="'9.1 关联方交易'!A1" display="关联方交易表"/>
    <hyperlink ref="B13" location="'9.2 关联方往来'!A1" display="关联方往来款"/>
    <hyperlink ref="B14" location="'9.3 关联方现金流'!A1" display="关联方现金流"/>
    <hyperlink ref="B7" location="'4 管理利润表'!A1" display="管理利润表"/>
    <hyperlink ref="B8" location="'5 开发成本表'!A1" display="开发成本明细表"/>
    <hyperlink ref="B9" location="'6 总体费用'!A1" display="总体费用明细表"/>
    <hyperlink ref="B11" location="'8 税费表'!A1" display="税费统计表"/>
    <hyperlink ref="B15" location="'10 其他事项'!A1" display="其他事项"/>
    <hyperlink ref="B10" location="'7 融资表'!A1" display="融资明细表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 activeCell="E19" sqref="E19"/>
    </sheetView>
  </sheetViews>
  <sheetFormatPr defaultColWidth="9" defaultRowHeight="14.25"/>
  <cols>
    <col min="1" max="1" width="34" customWidth="1"/>
    <col min="2" max="2" width="20.375" customWidth="1"/>
    <col min="3" max="3" width="21.625" customWidth="1"/>
    <col min="4" max="5" width="11.625" customWidth="1"/>
  </cols>
  <sheetData>
    <row r="1" spans="1:5" ht="20.25">
      <c r="A1" s="388" t="s">
        <v>174</v>
      </c>
      <c r="B1" s="388"/>
      <c r="C1" s="388"/>
      <c r="D1" s="327"/>
      <c r="E1" s="328"/>
    </row>
    <row r="2" spans="1:5">
      <c r="A2" s="65" t="str">
        <f>"编制单位："&amp;编制说明及审核公式!$C$2</f>
        <v>编制单位：上海丰泰置业有限公司</v>
      </c>
      <c r="B2" s="64"/>
      <c r="C2" s="64"/>
      <c r="D2" s="327"/>
      <c r="E2" s="328"/>
    </row>
    <row r="3" spans="1:5">
      <c r="A3" s="65" t="str">
        <f>"日期："&amp;编制说明及审核公式!$C$3</f>
        <v>日期：2020年12月</v>
      </c>
      <c r="B3" s="329"/>
      <c r="C3" s="64"/>
      <c r="D3" s="327"/>
      <c r="E3" s="328"/>
    </row>
    <row r="4" spans="1:5">
      <c r="A4" s="65" t="s">
        <v>175</v>
      </c>
      <c r="B4" s="64"/>
      <c r="C4" s="64"/>
      <c r="D4" s="327"/>
      <c r="E4" s="327"/>
    </row>
    <row r="5" spans="1:5">
      <c r="A5" s="330" t="s">
        <v>176</v>
      </c>
      <c r="B5" s="279" t="s">
        <v>177</v>
      </c>
      <c r="C5" s="279" t="s">
        <v>178</v>
      </c>
      <c r="D5" s="327"/>
      <c r="E5" s="327"/>
    </row>
    <row r="6" spans="1:5">
      <c r="A6" s="272" t="s">
        <v>179</v>
      </c>
      <c r="B6" s="273" t="s">
        <v>180</v>
      </c>
      <c r="C6" s="273" t="s">
        <v>180</v>
      </c>
      <c r="D6" s="327"/>
      <c r="E6" s="327"/>
    </row>
    <row r="7" spans="1:5">
      <c r="A7" s="275" t="s">
        <v>181</v>
      </c>
      <c r="B7" s="278">
        <v>6140908.5199999996</v>
      </c>
      <c r="C7" s="278">
        <v>3412119.87</v>
      </c>
      <c r="D7" s="327"/>
      <c r="E7" s="327"/>
    </row>
    <row r="8" spans="1:5">
      <c r="A8" s="275" t="s">
        <v>182</v>
      </c>
      <c r="B8" s="278">
        <v>0</v>
      </c>
      <c r="C8" s="278">
        <v>0</v>
      </c>
      <c r="D8" s="327"/>
      <c r="E8" s="327"/>
    </row>
    <row r="9" spans="1:5">
      <c r="A9" s="275" t="s">
        <v>183</v>
      </c>
      <c r="B9" s="278">
        <v>0</v>
      </c>
      <c r="C9" s="278">
        <v>0</v>
      </c>
      <c r="D9" s="327"/>
      <c r="E9" s="327"/>
    </row>
    <row r="10" spans="1:5">
      <c r="A10" s="287" t="s">
        <v>184</v>
      </c>
      <c r="B10" s="278">
        <v>0</v>
      </c>
      <c r="C10" s="278">
        <v>0</v>
      </c>
      <c r="D10" s="327"/>
      <c r="E10" s="327"/>
    </row>
    <row r="11" spans="1:5">
      <c r="A11" s="275" t="s">
        <v>185</v>
      </c>
      <c r="B11" s="278">
        <v>55589412.030000001</v>
      </c>
      <c r="C11" s="278">
        <v>41607969.359999999</v>
      </c>
      <c r="D11" s="327"/>
      <c r="E11" s="327"/>
    </row>
    <row r="12" spans="1:5">
      <c r="A12" s="275" t="s">
        <v>186</v>
      </c>
      <c r="B12" s="278">
        <v>87352.15</v>
      </c>
      <c r="C12" s="278">
        <v>849429.89</v>
      </c>
      <c r="D12" s="327"/>
      <c r="E12" s="327"/>
    </row>
    <row r="13" spans="1:5">
      <c r="A13" s="275" t="s">
        <v>187</v>
      </c>
      <c r="B13" s="278">
        <v>4565528836.6099997</v>
      </c>
      <c r="C13" s="278">
        <v>4270352540.8299999</v>
      </c>
      <c r="D13" s="327"/>
      <c r="E13" s="327"/>
    </row>
    <row r="14" spans="1:5">
      <c r="A14" s="280" t="s">
        <v>188</v>
      </c>
      <c r="B14" s="278">
        <v>4565528836.6099997</v>
      </c>
      <c r="C14" s="278">
        <v>4270352540.8299999</v>
      </c>
      <c r="D14" s="327"/>
      <c r="E14" s="327"/>
    </row>
    <row r="15" spans="1:5">
      <c r="A15" s="280" t="s">
        <v>189</v>
      </c>
      <c r="B15" s="278"/>
      <c r="C15" s="278"/>
      <c r="D15" s="327"/>
      <c r="E15" s="327"/>
    </row>
    <row r="16" spans="1:5">
      <c r="A16" s="275" t="s">
        <v>190</v>
      </c>
      <c r="B16" s="278"/>
      <c r="C16" s="278"/>
      <c r="D16" s="327"/>
      <c r="E16" s="327"/>
    </row>
    <row r="17" spans="1:5">
      <c r="A17" s="275" t="s">
        <v>191</v>
      </c>
      <c r="B17" s="278"/>
      <c r="C17" s="278"/>
      <c r="D17" s="327"/>
      <c r="E17" s="327"/>
    </row>
    <row r="18" spans="1:5">
      <c r="A18" s="275" t="s">
        <v>192</v>
      </c>
      <c r="B18" s="278"/>
      <c r="C18" s="278"/>
      <c r="D18" s="327"/>
      <c r="E18" s="327"/>
    </row>
    <row r="19" spans="1:5">
      <c r="A19" s="272" t="s">
        <v>193</v>
      </c>
      <c r="B19" s="276">
        <f>SUM(B7:B13,B16:B18)</f>
        <v>4627346509.3099995</v>
      </c>
      <c r="C19" s="276">
        <f>SUM(C7:C13,C16:C18)</f>
        <v>4316222059.9499998</v>
      </c>
      <c r="D19" s="327"/>
      <c r="E19" s="327"/>
    </row>
    <row r="20" spans="1:5">
      <c r="A20" s="272" t="s">
        <v>194</v>
      </c>
      <c r="B20" s="281" t="s">
        <v>180</v>
      </c>
      <c r="C20" s="281" t="s">
        <v>180</v>
      </c>
      <c r="D20" s="327"/>
      <c r="E20" s="327"/>
    </row>
    <row r="21" spans="1:5">
      <c r="A21" s="275" t="s">
        <v>195</v>
      </c>
      <c r="B21" s="278"/>
      <c r="C21" s="278"/>
      <c r="D21" s="327"/>
      <c r="E21" s="327"/>
    </row>
    <row r="22" spans="1:5">
      <c r="A22" s="275" t="s">
        <v>196</v>
      </c>
      <c r="B22" s="278"/>
      <c r="C22" s="278"/>
      <c r="D22" s="327"/>
      <c r="E22" s="327"/>
    </row>
    <row r="23" spans="1:5">
      <c r="A23" s="275" t="s">
        <v>197</v>
      </c>
      <c r="B23" s="278"/>
      <c r="C23" s="278"/>
      <c r="D23" s="327"/>
      <c r="E23" s="327"/>
    </row>
    <row r="24" spans="1:5">
      <c r="A24" s="275" t="s">
        <v>198</v>
      </c>
      <c r="B24" s="278"/>
      <c r="C24" s="278"/>
      <c r="D24" s="327"/>
      <c r="E24" s="327"/>
    </row>
    <row r="25" spans="1:5">
      <c r="A25" s="275" t="s">
        <v>199</v>
      </c>
      <c r="B25" s="278"/>
      <c r="C25" s="278"/>
      <c r="D25" s="327"/>
      <c r="E25" s="327"/>
    </row>
    <row r="26" spans="1:5">
      <c r="A26" s="275" t="s">
        <v>200</v>
      </c>
      <c r="B26" s="278">
        <v>78454.62</v>
      </c>
      <c r="C26" s="278">
        <v>211887.94</v>
      </c>
      <c r="D26" s="327"/>
      <c r="E26" s="327"/>
    </row>
    <row r="27" spans="1:5">
      <c r="A27" s="275" t="s">
        <v>201</v>
      </c>
      <c r="B27" s="278">
        <v>0</v>
      </c>
      <c r="C27" s="278">
        <v>0</v>
      </c>
      <c r="D27" s="327"/>
      <c r="E27" s="327"/>
    </row>
    <row r="28" spans="1:5">
      <c r="A28" s="275" t="s">
        <v>202</v>
      </c>
      <c r="B28" s="278"/>
      <c r="C28" s="278"/>
      <c r="D28" s="327"/>
      <c r="E28" s="327"/>
    </row>
    <row r="29" spans="1:5">
      <c r="A29" s="275" t="s">
        <v>203</v>
      </c>
      <c r="B29" s="278"/>
      <c r="C29" s="278"/>
      <c r="D29" s="327"/>
      <c r="E29" s="327"/>
    </row>
    <row r="30" spans="1:5">
      <c r="A30" s="275" t="s">
        <v>204</v>
      </c>
      <c r="B30" s="278">
        <v>0</v>
      </c>
      <c r="C30" s="278">
        <v>0</v>
      </c>
      <c r="D30" s="327"/>
      <c r="E30" s="327"/>
    </row>
    <row r="31" spans="1:5">
      <c r="A31" s="275" t="s">
        <v>205</v>
      </c>
      <c r="B31" s="278"/>
      <c r="C31" s="278"/>
      <c r="D31" s="327"/>
      <c r="E31" s="327"/>
    </row>
    <row r="32" spans="1:5">
      <c r="A32" s="275" t="s">
        <v>206</v>
      </c>
      <c r="B32" s="278">
        <v>0</v>
      </c>
      <c r="C32" s="278">
        <v>0</v>
      </c>
      <c r="D32" s="327"/>
      <c r="E32" s="327"/>
    </row>
    <row r="33" spans="1:5">
      <c r="A33" s="275" t="s">
        <v>207</v>
      </c>
      <c r="B33" s="278">
        <v>0</v>
      </c>
      <c r="C33" s="278">
        <v>23128.91</v>
      </c>
      <c r="D33" s="327"/>
      <c r="E33" s="327"/>
    </row>
    <row r="34" spans="1:5">
      <c r="A34" s="275" t="s">
        <v>208</v>
      </c>
      <c r="B34" s="278">
        <v>2568888.4500000002</v>
      </c>
      <c r="C34" s="278">
        <v>2568888.4500000002</v>
      </c>
      <c r="D34" s="327"/>
      <c r="E34" s="327"/>
    </row>
    <row r="35" spans="1:5">
      <c r="A35" s="275" t="s">
        <v>209</v>
      </c>
      <c r="B35" s="278">
        <v>63274179.509999998</v>
      </c>
      <c r="C35" s="278">
        <v>53971073.670000002</v>
      </c>
      <c r="D35" s="327"/>
      <c r="E35" s="327"/>
    </row>
    <row r="36" spans="1:5">
      <c r="A36" s="272" t="s">
        <v>210</v>
      </c>
      <c r="B36" s="276">
        <f>SUM(B21:B35)</f>
        <v>65921522.579999998</v>
      </c>
      <c r="C36" s="276">
        <f>SUM(C21:C35)</f>
        <v>56774978.969999999</v>
      </c>
      <c r="D36" s="327"/>
      <c r="E36" s="327"/>
    </row>
    <row r="37" spans="1:5">
      <c r="A37" s="272" t="s">
        <v>211</v>
      </c>
      <c r="B37" s="331">
        <f>B36+B19</f>
        <v>4693268031.8899994</v>
      </c>
      <c r="C37" s="331">
        <f>C36+C19</f>
        <v>4372997038.9200001</v>
      </c>
      <c r="D37" s="327"/>
      <c r="E37" s="327"/>
    </row>
    <row r="38" spans="1:5">
      <c r="A38" s="272" t="s">
        <v>212</v>
      </c>
      <c r="B38" s="281" t="s">
        <v>180</v>
      </c>
      <c r="C38" s="281" t="s">
        <v>180</v>
      </c>
      <c r="D38" s="327"/>
      <c r="E38" s="327"/>
    </row>
    <row r="39" spans="1:5">
      <c r="A39" s="275" t="s">
        <v>213</v>
      </c>
      <c r="B39" s="278"/>
      <c r="C39" s="278"/>
      <c r="D39" s="327"/>
      <c r="E39" s="327"/>
    </row>
    <row r="40" spans="1:5">
      <c r="A40" s="275" t="s">
        <v>214</v>
      </c>
      <c r="B40" s="278"/>
      <c r="C40" s="278"/>
      <c r="D40" s="327"/>
      <c r="E40" s="327"/>
    </row>
    <row r="41" spans="1:5">
      <c r="A41" s="275" t="s">
        <v>215</v>
      </c>
      <c r="B41" s="278"/>
      <c r="C41" s="278"/>
      <c r="D41" s="327"/>
      <c r="E41" s="327"/>
    </row>
    <row r="42" spans="1:5">
      <c r="A42" s="287" t="s">
        <v>216</v>
      </c>
      <c r="B42" s="278">
        <v>5441.1</v>
      </c>
      <c r="C42" s="278">
        <v>5441.1</v>
      </c>
      <c r="D42" s="327"/>
      <c r="E42" s="327"/>
    </row>
    <row r="43" spans="1:5">
      <c r="A43" s="275" t="s">
        <v>217</v>
      </c>
      <c r="B43" s="278">
        <v>0</v>
      </c>
      <c r="C43" s="278">
        <v>0</v>
      </c>
      <c r="D43" s="327"/>
      <c r="E43" s="327"/>
    </row>
    <row r="44" spans="1:5">
      <c r="A44" s="275" t="s">
        <v>218</v>
      </c>
      <c r="B44" s="278">
        <v>282471.67</v>
      </c>
      <c r="C44" s="278">
        <v>1013289.63</v>
      </c>
      <c r="D44" s="327"/>
      <c r="E44" s="327"/>
    </row>
    <row r="45" spans="1:5">
      <c r="A45" s="275" t="s">
        <v>219</v>
      </c>
      <c r="B45" s="278">
        <v>21173.86</v>
      </c>
      <c r="C45" s="278">
        <v>73417.78</v>
      </c>
      <c r="D45" s="327"/>
      <c r="E45" s="327"/>
    </row>
    <row r="46" spans="1:5">
      <c r="A46" s="275" t="s">
        <v>220</v>
      </c>
      <c r="B46" s="278">
        <v>256641352.83000001</v>
      </c>
      <c r="C46" s="278">
        <v>160482241.91</v>
      </c>
      <c r="D46" s="327"/>
      <c r="E46" s="327"/>
    </row>
    <row r="47" spans="1:5">
      <c r="A47" s="275" t="s">
        <v>221</v>
      </c>
      <c r="B47" s="278"/>
      <c r="C47" s="278"/>
      <c r="D47" s="327"/>
      <c r="E47" s="327"/>
    </row>
    <row r="48" spans="1:5">
      <c r="A48" s="275" t="s">
        <v>222</v>
      </c>
      <c r="B48" s="278"/>
      <c r="C48" s="278"/>
      <c r="D48" s="327"/>
      <c r="E48" s="327"/>
    </row>
    <row r="49" spans="1:5">
      <c r="A49" s="275" t="s">
        <v>223</v>
      </c>
      <c r="B49" s="278"/>
      <c r="C49" s="278"/>
      <c r="D49" s="327"/>
      <c r="E49" s="327"/>
    </row>
    <row r="50" spans="1:5">
      <c r="A50" s="272" t="s">
        <v>224</v>
      </c>
      <c r="B50" s="276">
        <f>SUM(B39:B49)</f>
        <v>256950439.46000001</v>
      </c>
      <c r="C50" s="276">
        <f>SUM(C39:C49)</f>
        <v>161574390.41999999</v>
      </c>
      <c r="D50" s="327"/>
      <c r="E50" s="327"/>
    </row>
    <row r="51" spans="1:5">
      <c r="A51" s="272" t="s">
        <v>225</v>
      </c>
      <c r="B51" s="281" t="s">
        <v>180</v>
      </c>
      <c r="C51" s="281" t="s">
        <v>180</v>
      </c>
      <c r="D51" s="327"/>
      <c r="E51" s="327"/>
    </row>
    <row r="52" spans="1:5">
      <c r="A52" s="275" t="s">
        <v>226</v>
      </c>
      <c r="B52" s="278">
        <v>873142454.46000004</v>
      </c>
      <c r="C52" s="278">
        <v>635777562.29999995</v>
      </c>
      <c r="D52" s="327"/>
      <c r="E52" s="327"/>
    </row>
    <row r="53" spans="1:5">
      <c r="A53" s="275" t="s">
        <v>227</v>
      </c>
      <c r="B53" s="278"/>
      <c r="C53" s="278"/>
      <c r="D53" s="327"/>
      <c r="E53" s="327"/>
    </row>
    <row r="54" spans="1:5">
      <c r="A54" s="280" t="s">
        <v>228</v>
      </c>
      <c r="B54" s="278"/>
      <c r="C54" s="278"/>
      <c r="D54" s="327"/>
      <c r="E54" s="327"/>
    </row>
    <row r="55" spans="1:5">
      <c r="A55" s="277" t="s">
        <v>229</v>
      </c>
      <c r="B55" s="278"/>
      <c r="C55" s="278"/>
      <c r="D55" s="327"/>
      <c r="E55" s="327"/>
    </row>
    <row r="56" spans="1:5">
      <c r="A56" s="275" t="s">
        <v>230</v>
      </c>
      <c r="B56" s="278"/>
      <c r="C56" s="278"/>
      <c r="D56" s="327"/>
      <c r="E56" s="327"/>
    </row>
    <row r="57" spans="1:5">
      <c r="A57" s="275" t="s">
        <v>231</v>
      </c>
      <c r="B57" s="278"/>
      <c r="C57" s="278"/>
      <c r="D57" s="327"/>
      <c r="E57" s="327"/>
    </row>
    <row r="58" spans="1:5">
      <c r="A58" s="275" t="s">
        <v>232</v>
      </c>
      <c r="B58" s="278"/>
      <c r="C58" s="278"/>
      <c r="D58" s="327"/>
      <c r="E58" s="327"/>
    </row>
    <row r="59" spans="1:5">
      <c r="A59" s="275" t="s">
        <v>233</v>
      </c>
      <c r="B59" s="278"/>
      <c r="C59" s="278"/>
      <c r="D59" s="327"/>
      <c r="E59" s="327"/>
    </row>
    <row r="60" spans="1:5">
      <c r="A60" s="275" t="s">
        <v>234</v>
      </c>
      <c r="B60" s="278"/>
      <c r="C60" s="278"/>
      <c r="D60" s="327"/>
      <c r="E60" s="327"/>
    </row>
    <row r="61" spans="1:5">
      <c r="A61" s="272" t="s">
        <v>235</v>
      </c>
      <c r="B61" s="276">
        <f>SUM(B52:B53,B56:B60)</f>
        <v>873142454.46000004</v>
      </c>
      <c r="C61" s="276">
        <f>SUM(C52:C53,C56:C60)</f>
        <v>635777562.29999995</v>
      </c>
      <c r="D61" s="327"/>
      <c r="E61" s="327"/>
    </row>
    <row r="62" spans="1:5">
      <c r="A62" s="272" t="s">
        <v>236</v>
      </c>
      <c r="B62" s="276">
        <f>B61+B50</f>
        <v>1130092893.9200001</v>
      </c>
      <c r="C62" s="276">
        <f>C61+C50</f>
        <v>797351952.71999991</v>
      </c>
      <c r="D62" s="327"/>
      <c r="E62" s="327"/>
    </row>
    <row r="63" spans="1:5">
      <c r="A63" s="272" t="s">
        <v>237</v>
      </c>
      <c r="B63" s="281" t="s">
        <v>180</v>
      </c>
      <c r="C63" s="281" t="s">
        <v>180</v>
      </c>
      <c r="D63" s="327"/>
      <c r="E63" s="327"/>
    </row>
    <row r="64" spans="1:5">
      <c r="A64" s="275" t="s">
        <v>238</v>
      </c>
      <c r="B64" s="278">
        <v>1500000000</v>
      </c>
      <c r="C64" s="278">
        <v>1500000000</v>
      </c>
      <c r="D64" s="327"/>
      <c r="E64" s="327"/>
    </row>
    <row r="65" spans="1:5">
      <c r="A65" s="275" t="s">
        <v>239</v>
      </c>
      <c r="B65" s="278"/>
      <c r="C65" s="278"/>
      <c r="D65" s="327"/>
      <c r="E65" s="327"/>
    </row>
    <row r="66" spans="1:5">
      <c r="A66" s="277" t="s">
        <v>240</v>
      </c>
      <c r="B66" s="278"/>
      <c r="C66" s="278"/>
      <c r="D66" s="327"/>
      <c r="E66" s="327"/>
    </row>
    <row r="67" spans="1:5">
      <c r="A67" s="277" t="s">
        <v>229</v>
      </c>
      <c r="B67" s="278"/>
      <c r="C67" s="278"/>
      <c r="D67" s="327"/>
      <c r="E67" s="327"/>
    </row>
    <row r="68" spans="1:5">
      <c r="A68" s="275" t="s">
        <v>241</v>
      </c>
      <c r="B68" s="278">
        <v>2106200000</v>
      </c>
      <c r="C68" s="278">
        <v>2106200000</v>
      </c>
      <c r="D68" s="327"/>
      <c r="E68" s="327"/>
    </row>
    <row r="69" spans="1:5">
      <c r="A69" s="275" t="s">
        <v>242</v>
      </c>
      <c r="B69" s="278"/>
      <c r="C69" s="278"/>
      <c r="D69" s="327"/>
      <c r="E69" s="327"/>
    </row>
    <row r="70" spans="1:5">
      <c r="A70" s="275" t="s">
        <v>243</v>
      </c>
      <c r="B70" s="278"/>
      <c r="C70" s="278"/>
      <c r="D70" s="327"/>
      <c r="E70" s="327"/>
    </row>
    <row r="71" spans="1:5">
      <c r="A71" s="275" t="s">
        <v>244</v>
      </c>
      <c r="B71" s="278">
        <v>192049.47</v>
      </c>
      <c r="C71" s="278">
        <v>192049.47</v>
      </c>
      <c r="D71" s="327"/>
      <c r="E71" s="327"/>
    </row>
    <row r="72" spans="1:5">
      <c r="A72" s="275" t="s">
        <v>245</v>
      </c>
      <c r="B72" s="278">
        <v>-43216911.5</v>
      </c>
      <c r="C72" s="278">
        <v>-30746963.27</v>
      </c>
      <c r="D72" s="327"/>
      <c r="E72" s="327"/>
    </row>
    <row r="73" spans="1:5">
      <c r="A73" s="275" t="s">
        <v>246</v>
      </c>
      <c r="B73" s="286">
        <f>SUM(B64:B65,B68,-B69,B70:B72)</f>
        <v>3563175137.9699998</v>
      </c>
      <c r="C73" s="286">
        <f>SUM(C64:C65,C68,-C69,C70:C72)</f>
        <v>3575645086.1999998</v>
      </c>
      <c r="D73" s="327"/>
      <c r="E73" s="327"/>
    </row>
    <row r="74" spans="1:5">
      <c r="A74" s="275" t="s">
        <v>247</v>
      </c>
      <c r="B74" s="278">
        <v>0</v>
      </c>
      <c r="C74" s="278">
        <v>0</v>
      </c>
      <c r="D74" s="327"/>
      <c r="E74" s="327"/>
    </row>
    <row r="75" spans="1:5">
      <c r="A75" s="272" t="s">
        <v>248</v>
      </c>
      <c r="B75" s="276">
        <f>B74+B73</f>
        <v>3563175137.9699998</v>
      </c>
      <c r="C75" s="276">
        <f>C74+C73</f>
        <v>3575645086.1999998</v>
      </c>
      <c r="D75" s="327"/>
      <c r="E75" s="327"/>
    </row>
    <row r="76" spans="1:5">
      <c r="A76" s="272" t="s">
        <v>249</v>
      </c>
      <c r="B76" s="276">
        <f>B75+B62</f>
        <v>4693268031.8899994</v>
      </c>
      <c r="C76" s="276">
        <f>C75+C62</f>
        <v>4372997038.9200001</v>
      </c>
      <c r="D76" s="327"/>
      <c r="E76" s="327"/>
    </row>
    <row r="77" spans="1:5">
      <c r="A77" s="332"/>
      <c r="B77" s="332"/>
      <c r="C77" s="332"/>
      <c r="D77" s="327"/>
      <c r="E77" s="327"/>
    </row>
    <row r="78" spans="1:5">
      <c r="A78" s="333" t="s">
        <v>250</v>
      </c>
      <c r="B78" s="334" t="s">
        <v>251</v>
      </c>
      <c r="C78" s="334" t="s">
        <v>252</v>
      </c>
    </row>
    <row r="79" spans="1:5">
      <c r="A79" s="211" t="s">
        <v>253</v>
      </c>
      <c r="B79" s="335">
        <f>ROUND(SUM('1 资产负债表'!B7:B18)-'1 资产负债表'!B14-'1 资产负债表'!B15-'1 资产负债表'!B19,2)</f>
        <v>0</v>
      </c>
      <c r="C79" s="335">
        <f>ROUND(SUM('1 资产负债表'!C7:C18)-'1 资产负债表'!C14-'1 资产负债表'!C15-'1 资产负债表'!C19,2)</f>
        <v>0</v>
      </c>
    </row>
    <row r="80" spans="1:5">
      <c r="A80" s="336" t="s">
        <v>254</v>
      </c>
      <c r="B80" s="335">
        <f>IF('1 资产负债表'!B13&gt;=('1 资产负债表'!B14+'1 资产负债表'!B15),0,1)</f>
        <v>0</v>
      </c>
      <c r="C80" s="335">
        <f>IF('1 资产负债表'!C13&gt;=('1 资产负债表'!C14+'1 资产负债表'!C15),0,1)</f>
        <v>0</v>
      </c>
    </row>
    <row r="81" spans="1:3">
      <c r="A81" s="336" t="s">
        <v>255</v>
      </c>
      <c r="B81" s="335">
        <f>ROUND('1 资产负债表'!B36-SUM('1 资产负债表'!B21:B35),2)</f>
        <v>0</v>
      </c>
      <c r="C81" s="335">
        <f>ROUND('1 资产负债表'!C36-SUM('1 资产负债表'!C21:C35),2)</f>
        <v>0</v>
      </c>
    </row>
    <row r="82" spans="1:3">
      <c r="A82" s="336" t="s">
        <v>256</v>
      </c>
      <c r="B82" s="335">
        <f>ROUND('1 资产负债表'!B37-'1 资产负债表'!B36-'1 资产负债表'!B19,2)</f>
        <v>0</v>
      </c>
      <c r="C82" s="335">
        <f>ROUND('1 资产负债表'!C37-'1 资产负债表'!C36-'1 资产负债表'!C19,2)</f>
        <v>0</v>
      </c>
    </row>
    <row r="83" spans="1:3">
      <c r="A83" s="336" t="s">
        <v>257</v>
      </c>
      <c r="B83" s="335">
        <f>ROUND('1 资产负债表'!B50-SUM('1 资产负债表'!B39:B49),2)</f>
        <v>0</v>
      </c>
      <c r="C83" s="335">
        <f>ROUND('1 资产负债表'!C50-SUM('1 资产负债表'!C39:C49),2)</f>
        <v>0</v>
      </c>
    </row>
    <row r="84" spans="1:3">
      <c r="A84" s="336" t="s">
        <v>258</v>
      </c>
      <c r="B84" s="335">
        <f>ROUND('1 资产负债表'!B61-SUM('1 资产负债表'!B52:B60)+'1 资产负债表'!B54+'1 资产负债表'!B55,2)</f>
        <v>0</v>
      </c>
      <c r="C84" s="335">
        <f>ROUND('1 资产负债表'!C61-SUM('1 资产负债表'!C52:C60)+'1 资产负债表'!C54+'1 资产负债表'!C55,2)</f>
        <v>0</v>
      </c>
    </row>
    <row r="85" spans="1:3">
      <c r="A85" s="336" t="s">
        <v>259</v>
      </c>
      <c r="B85" s="335">
        <f>ROUND('1 资产负债表'!B62-'1 资产负债表'!B61-'1 资产负债表'!B50,2)</f>
        <v>0</v>
      </c>
      <c r="C85" s="335">
        <f>ROUND('1 资产负债表'!C62-'1 资产负债表'!C61-'1 资产负债表'!C50,2)</f>
        <v>0</v>
      </c>
    </row>
    <row r="86" spans="1:3">
      <c r="A86" s="336" t="s">
        <v>260</v>
      </c>
      <c r="B86" s="335">
        <f>ROUND('1 资产负债表'!B73-'1 资产负债表'!B64-'1 资产负债表'!B65-'1 资产负债表'!B68-'1 资产负债表'!B70-'1 资产负债表'!B71-'1 资产负债表'!B72,2)</f>
        <v>0</v>
      </c>
      <c r="C86" s="335">
        <f>ROUND('1 资产负债表'!C73-'1 资产负债表'!C64-'1 资产负债表'!C65-'1 资产负债表'!C68-'1 资产负债表'!C70-'1 资产负债表'!C71-'1 资产负债表'!C72,2)</f>
        <v>0</v>
      </c>
    </row>
    <row r="87" spans="1:3" ht="24">
      <c r="A87" s="336" t="s">
        <v>261</v>
      </c>
      <c r="B87" s="335">
        <f>ROUND('1 资产负债表'!B75-'1 资产负债表'!B74-'1 资产负债表'!B73,2)</f>
        <v>0</v>
      </c>
      <c r="C87" s="335">
        <f>ROUND('1 资产负债表'!C75-'1 资产负债表'!C74-'1 资产负债表'!C73,2)</f>
        <v>0</v>
      </c>
    </row>
    <row r="88" spans="1:3" ht="23.25">
      <c r="A88" s="336" t="s">
        <v>262</v>
      </c>
      <c r="B88" s="335">
        <f>ROUND('1 资产负债表'!B76-'1 资产负债表'!B75-'1 资产负债表'!B62,2)</f>
        <v>0</v>
      </c>
      <c r="C88" s="335">
        <f>ROUND('1 资产负债表'!C76-'1 资产负债表'!C75-'1 资产负债表'!C62,2)</f>
        <v>0</v>
      </c>
    </row>
    <row r="89" spans="1:3">
      <c r="A89" s="336" t="s">
        <v>263</v>
      </c>
      <c r="B89" s="335">
        <f>ROUND('1 资产负债表'!B76-'1 资产负债表'!B37,2)</f>
        <v>0</v>
      </c>
      <c r="C89" s="335">
        <f>ROUND('1 资产负债表'!C76-'1 资产负债表'!C37,2)</f>
        <v>0</v>
      </c>
    </row>
    <row r="90" spans="1:3" ht="24">
      <c r="A90" s="336" t="s">
        <v>264</v>
      </c>
      <c r="B90" s="335">
        <f>ROUND('1 资产负债表'!B72-'1 资产负债表'!C72-'2 利润表'!E38+('1 资产负债表'!B71-'1 资产负债表'!C71),2)</f>
        <v>0</v>
      </c>
      <c r="C90" s="335"/>
    </row>
    <row r="91" spans="1:3" ht="24">
      <c r="A91" s="336" t="s">
        <v>265</v>
      </c>
      <c r="B91" s="335">
        <f>ROUND('1 资产负债表'!B74-'1 资产负债表'!C74-'2 利润表'!E39,2)</f>
        <v>0</v>
      </c>
      <c r="C91" s="335"/>
    </row>
    <row r="92" spans="1:3" ht="24">
      <c r="A92" s="211" t="s">
        <v>266</v>
      </c>
      <c r="B92" s="335">
        <f>ROUND(C70+'2 利润表'!E43-'1 资产负债表'!B70,2)</f>
        <v>0</v>
      </c>
      <c r="C92" s="337"/>
    </row>
  </sheetData>
  <sheetProtection password="F79E" sheet="1" objects="1" scenarios="1"/>
  <mergeCells count="1">
    <mergeCell ref="A1:C1"/>
  </mergeCells>
  <phoneticPr fontId="83" type="noConversion"/>
  <hyperlinks>
    <hyperlink ref="A1" location="目录!A1" display="资产负债表"/>
  </hyperlinks>
  <pageMargins left="0.70763888888888904" right="0.70763888888888904" top="0.74791666666666701" bottom="0.74791666666666701" header="0.31388888888888899" footer="0.31388888888888899"/>
  <pageSetup paperSize="9" scale="95" fitToHeight="2" orientation="portrait" r:id="rId1"/>
  <rowBreaks count="1" manualBreakCount="1">
    <brk id="37" max="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  <pageSetUpPr fitToPage="1"/>
  </sheetPr>
  <dimension ref="A1:R78"/>
  <sheetViews>
    <sheetView view="pageBreakPreview" zoomScaleNormal="100" zoomScaleSheetLayoutView="100" workbookViewId="0">
      <pane xSplit="5" ySplit="5" topLeftCell="F6" activePane="bottomRight" state="frozen"/>
      <selection pane="topRight"/>
      <selection pane="bottomLeft"/>
      <selection pane="bottomRight" activeCell="U30" sqref="U30"/>
    </sheetView>
  </sheetViews>
  <sheetFormatPr defaultColWidth="9" defaultRowHeight="14.25" outlineLevelRow="1"/>
  <cols>
    <col min="1" max="1" width="38.5" style="64" customWidth="1"/>
    <col min="2" max="2" width="14.625" style="64" customWidth="1"/>
    <col min="3" max="3" width="10" style="64" customWidth="1"/>
    <col min="4" max="4" width="10" style="64" hidden="1" customWidth="1"/>
    <col min="5" max="5" width="11.875" style="64" customWidth="1"/>
    <col min="6" max="17" width="8.625" style="64" customWidth="1"/>
    <col min="18" max="16384" width="9" style="64"/>
  </cols>
  <sheetData>
    <row r="1" spans="1:18" ht="20.25">
      <c r="A1" s="388" t="s">
        <v>267</v>
      </c>
      <c r="B1" s="388"/>
      <c r="C1" s="388"/>
      <c r="D1" s="388"/>
      <c r="E1" s="388" t="s">
        <v>268</v>
      </c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 t="s">
        <v>268</v>
      </c>
    </row>
    <row r="2" spans="1:18">
      <c r="A2" s="65" t="str">
        <f>"编制单位："&amp;编制说明及审核公式!$C$2</f>
        <v>编制单位：上海丰泰置业有限公司</v>
      </c>
      <c r="B2" s="65"/>
      <c r="C2" s="65"/>
      <c r="D2" s="65"/>
    </row>
    <row r="3" spans="1:18">
      <c r="A3" s="65" t="str">
        <f>"日期："&amp;编制说明及审核公式!$C$3</f>
        <v>日期：2020年12月</v>
      </c>
      <c r="B3" s="65"/>
      <c r="C3" s="65"/>
      <c r="D3" s="65"/>
    </row>
    <row r="4" spans="1:18">
      <c r="A4" s="65" t="s">
        <v>175</v>
      </c>
      <c r="B4" s="65"/>
      <c r="C4" s="65"/>
      <c r="D4" s="65"/>
    </row>
    <row r="5" spans="1:18" ht="15.6" customHeight="1">
      <c r="A5" s="271" t="s">
        <v>176</v>
      </c>
      <c r="B5" s="271" t="s">
        <v>269</v>
      </c>
      <c r="C5" s="271" t="s">
        <v>270</v>
      </c>
      <c r="D5" s="270" t="s">
        <v>271</v>
      </c>
      <c r="E5" s="271" t="s">
        <v>272</v>
      </c>
      <c r="F5" s="310" t="s">
        <v>273</v>
      </c>
      <c r="G5" s="310" t="s">
        <v>274</v>
      </c>
      <c r="H5" s="310" t="s">
        <v>275</v>
      </c>
      <c r="I5" s="310" t="s">
        <v>276</v>
      </c>
      <c r="J5" s="310" t="s">
        <v>277</v>
      </c>
      <c r="K5" s="310" t="s">
        <v>278</v>
      </c>
      <c r="L5" s="310" t="s">
        <v>279</v>
      </c>
      <c r="M5" s="310" t="s">
        <v>280</v>
      </c>
      <c r="N5" s="310" t="s">
        <v>281</v>
      </c>
      <c r="O5" s="310" t="s">
        <v>282</v>
      </c>
      <c r="P5" s="310" t="s">
        <v>283</v>
      </c>
      <c r="Q5" s="310" t="s">
        <v>284</v>
      </c>
      <c r="R5" s="88" t="s">
        <v>285</v>
      </c>
    </row>
    <row r="6" spans="1:18" s="268" customFormat="1">
      <c r="A6" s="311" t="s">
        <v>286</v>
      </c>
      <c r="B6" s="276">
        <f>B7</f>
        <v>0</v>
      </c>
      <c r="C6" s="312">
        <f t="shared" ref="C6:C39" si="0">IFERROR(E6/B6,0)</f>
        <v>0</v>
      </c>
      <c r="D6" s="313">
        <f>INDEX(F6:Q6,MATCH(--MID($A$3,9,2)&amp;"月",$F$5:$Q$5,))</f>
        <v>0</v>
      </c>
      <c r="E6" s="313">
        <f t="shared" ref="E6:E39" si="1">SUM(F6:Q6)</f>
        <v>0</v>
      </c>
      <c r="F6" s="276">
        <f t="shared" ref="F6:Q6" si="2">F7</f>
        <v>0</v>
      </c>
      <c r="G6" s="276">
        <f t="shared" si="2"/>
        <v>0</v>
      </c>
      <c r="H6" s="276">
        <f t="shared" si="2"/>
        <v>0</v>
      </c>
      <c r="I6" s="276">
        <f t="shared" si="2"/>
        <v>0</v>
      </c>
      <c r="J6" s="276">
        <f t="shared" si="2"/>
        <v>0</v>
      </c>
      <c r="K6" s="276">
        <f t="shared" si="2"/>
        <v>0</v>
      </c>
      <c r="L6" s="276">
        <f t="shared" si="2"/>
        <v>0</v>
      </c>
      <c r="M6" s="276">
        <f t="shared" si="2"/>
        <v>0</v>
      </c>
      <c r="N6" s="276">
        <f t="shared" si="2"/>
        <v>0</v>
      </c>
      <c r="O6" s="276">
        <f t="shared" si="2"/>
        <v>0</v>
      </c>
      <c r="P6" s="276">
        <f t="shared" si="2"/>
        <v>0</v>
      </c>
      <c r="Q6" s="276">
        <f t="shared" si="2"/>
        <v>0</v>
      </c>
      <c r="R6" s="90">
        <f t="shared" ref="R6:R39" si="3">ROUND(E6-SUM(F6:Q6),2)</f>
        <v>0</v>
      </c>
    </row>
    <row r="7" spans="1:18">
      <c r="A7" s="275" t="s">
        <v>287</v>
      </c>
      <c r="B7" s="286">
        <f>SUM(B8:B12)</f>
        <v>0</v>
      </c>
      <c r="C7" s="314">
        <f t="shared" si="0"/>
        <v>0</v>
      </c>
      <c r="D7" s="276">
        <f t="shared" ref="D7:D60" si="4">INDEX(F7:Q7,MATCH(--MID($A$3,9,2)&amp;"月",$F$5:$Q$5,))</f>
        <v>0</v>
      </c>
      <c r="E7" s="276">
        <f t="shared" si="1"/>
        <v>0</v>
      </c>
      <c r="F7" s="286">
        <f t="shared" ref="F7:Q7" si="5">SUM(F8:F12)</f>
        <v>0</v>
      </c>
      <c r="G7" s="286">
        <f t="shared" si="5"/>
        <v>0</v>
      </c>
      <c r="H7" s="286">
        <f t="shared" si="5"/>
        <v>0</v>
      </c>
      <c r="I7" s="286">
        <f t="shared" si="5"/>
        <v>0</v>
      </c>
      <c r="J7" s="286">
        <f t="shared" si="5"/>
        <v>0</v>
      </c>
      <c r="K7" s="286">
        <f t="shared" si="5"/>
        <v>0</v>
      </c>
      <c r="L7" s="286">
        <f t="shared" si="5"/>
        <v>0</v>
      </c>
      <c r="M7" s="286">
        <f t="shared" si="5"/>
        <v>0</v>
      </c>
      <c r="N7" s="286">
        <f t="shared" si="5"/>
        <v>0</v>
      </c>
      <c r="O7" s="286">
        <f t="shared" si="5"/>
        <v>0</v>
      </c>
      <c r="P7" s="286">
        <f t="shared" si="5"/>
        <v>0</v>
      </c>
      <c r="Q7" s="286">
        <f t="shared" si="5"/>
        <v>0</v>
      </c>
      <c r="R7" s="90">
        <f t="shared" si="3"/>
        <v>0</v>
      </c>
    </row>
    <row r="8" spans="1:18">
      <c r="A8" s="280" t="s">
        <v>288</v>
      </c>
      <c r="B8" s="283"/>
      <c r="C8" s="314">
        <f t="shared" si="0"/>
        <v>0</v>
      </c>
      <c r="D8" s="276">
        <f t="shared" si="4"/>
        <v>0</v>
      </c>
      <c r="E8" s="276">
        <f t="shared" si="1"/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v>0</v>
      </c>
      <c r="M8" s="283"/>
      <c r="N8" s="283"/>
      <c r="O8" s="283"/>
      <c r="P8" s="283"/>
      <c r="Q8" s="283"/>
      <c r="R8" s="90">
        <f t="shared" si="3"/>
        <v>0</v>
      </c>
    </row>
    <row r="9" spans="1:18">
      <c r="A9" s="280" t="s">
        <v>289</v>
      </c>
      <c r="B9" s="283"/>
      <c r="C9" s="314">
        <f t="shared" si="0"/>
        <v>0</v>
      </c>
      <c r="D9" s="276">
        <f t="shared" si="4"/>
        <v>0</v>
      </c>
      <c r="E9" s="276">
        <f t="shared" si="1"/>
        <v>0</v>
      </c>
      <c r="F9" s="283">
        <v>0</v>
      </c>
      <c r="G9" s="283">
        <v>0</v>
      </c>
      <c r="H9" s="283">
        <v>0</v>
      </c>
      <c r="I9" s="283">
        <v>0</v>
      </c>
      <c r="J9" s="283">
        <v>0</v>
      </c>
      <c r="K9" s="283">
        <v>0</v>
      </c>
      <c r="L9" s="283">
        <v>0</v>
      </c>
      <c r="M9" s="283"/>
      <c r="N9" s="283"/>
      <c r="O9" s="283"/>
      <c r="P9" s="283"/>
      <c r="Q9" s="283"/>
      <c r="R9" s="90">
        <f t="shared" si="3"/>
        <v>0</v>
      </c>
    </row>
    <row r="10" spans="1:18">
      <c r="A10" s="277" t="s">
        <v>290</v>
      </c>
      <c r="B10" s="283"/>
      <c r="C10" s="314">
        <f t="shared" si="0"/>
        <v>0</v>
      </c>
      <c r="D10" s="276">
        <f t="shared" si="4"/>
        <v>0</v>
      </c>
      <c r="E10" s="276">
        <f t="shared" si="1"/>
        <v>0</v>
      </c>
      <c r="F10" s="283">
        <v>0</v>
      </c>
      <c r="G10" s="283">
        <v>0</v>
      </c>
      <c r="H10" s="283">
        <v>0</v>
      </c>
      <c r="I10" s="283">
        <v>0</v>
      </c>
      <c r="J10" s="283">
        <v>0</v>
      </c>
      <c r="K10" s="283">
        <v>0</v>
      </c>
      <c r="L10" s="283">
        <v>0</v>
      </c>
      <c r="M10" s="283"/>
      <c r="N10" s="283"/>
      <c r="O10" s="283"/>
      <c r="P10" s="283"/>
      <c r="Q10" s="283"/>
      <c r="R10" s="90">
        <f t="shared" si="3"/>
        <v>0</v>
      </c>
    </row>
    <row r="11" spans="1:18">
      <c r="A11" s="277" t="s">
        <v>291</v>
      </c>
      <c r="B11" s="283"/>
      <c r="C11" s="314">
        <f t="shared" si="0"/>
        <v>0</v>
      </c>
      <c r="D11" s="276">
        <f t="shared" si="4"/>
        <v>0</v>
      </c>
      <c r="E11" s="276">
        <f t="shared" si="1"/>
        <v>0</v>
      </c>
      <c r="F11" s="283">
        <v>0</v>
      </c>
      <c r="G11" s="283">
        <v>0</v>
      </c>
      <c r="H11" s="283">
        <v>0</v>
      </c>
      <c r="I11" s="283">
        <v>0</v>
      </c>
      <c r="J11" s="283">
        <v>0</v>
      </c>
      <c r="K11" s="283">
        <v>0</v>
      </c>
      <c r="L11" s="283">
        <v>0</v>
      </c>
      <c r="M11" s="283"/>
      <c r="N11" s="283"/>
      <c r="O11" s="283"/>
      <c r="P11" s="283"/>
      <c r="Q11" s="283"/>
      <c r="R11" s="90">
        <f t="shared" si="3"/>
        <v>0</v>
      </c>
    </row>
    <row r="12" spans="1:18">
      <c r="A12" s="277" t="s">
        <v>292</v>
      </c>
      <c r="B12" s="283"/>
      <c r="C12" s="314">
        <f t="shared" ref="C12" si="6">IFERROR(E12/B12,0)</f>
        <v>0</v>
      </c>
      <c r="D12" s="276">
        <f t="shared" ref="D12" si="7">INDEX(F12:Q12,MATCH(--MID($A$3,9,2)&amp;"月",$F$5:$Q$5,))</f>
        <v>0</v>
      </c>
      <c r="E12" s="276">
        <f t="shared" ref="E12" si="8">SUM(F12:Q12)</f>
        <v>0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/>
      <c r="N12" s="283"/>
      <c r="O12" s="283"/>
      <c r="P12" s="283"/>
      <c r="Q12" s="283"/>
      <c r="R12" s="90">
        <f t="shared" si="3"/>
        <v>0</v>
      </c>
    </row>
    <row r="13" spans="1:18">
      <c r="A13" s="272" t="s">
        <v>293</v>
      </c>
      <c r="B13" s="286">
        <f>B14+B20+B21+B22+B23</f>
        <v>0</v>
      </c>
      <c r="C13" s="312">
        <f t="shared" si="0"/>
        <v>0</v>
      </c>
      <c r="D13" s="276">
        <f t="shared" si="4"/>
        <v>458616.06000000017</v>
      </c>
      <c r="E13" s="276">
        <f t="shared" si="1"/>
        <v>12507421.229999999</v>
      </c>
      <c r="F13" s="276">
        <f t="shared" ref="F13:Q13" si="9">F14++F20+F21+F22+F23</f>
        <v>1338719.2999999998</v>
      </c>
      <c r="G13" s="276">
        <f t="shared" si="9"/>
        <v>426132.19</v>
      </c>
      <c r="H13" s="276">
        <f t="shared" si="9"/>
        <v>1284031.1599999999</v>
      </c>
      <c r="I13" s="276">
        <f t="shared" si="9"/>
        <v>609234.16</v>
      </c>
      <c r="J13" s="276">
        <f t="shared" si="9"/>
        <v>378918.29000000004</v>
      </c>
      <c r="K13" s="276">
        <f t="shared" si="9"/>
        <v>4600863.99</v>
      </c>
      <c r="L13" s="276">
        <f t="shared" si="9"/>
        <v>496636.25</v>
      </c>
      <c r="M13" s="276">
        <f t="shared" si="9"/>
        <v>580918.84999999974</v>
      </c>
      <c r="N13" s="276">
        <f t="shared" si="9"/>
        <v>2153949.8699999992</v>
      </c>
      <c r="O13" s="276">
        <f t="shared" si="9"/>
        <v>20240.080000000162</v>
      </c>
      <c r="P13" s="276">
        <f t="shared" si="9"/>
        <v>159161.03</v>
      </c>
      <c r="Q13" s="276">
        <f t="shared" si="9"/>
        <v>458616.06000000017</v>
      </c>
      <c r="R13" s="90">
        <f t="shared" si="3"/>
        <v>0</v>
      </c>
    </row>
    <row r="14" spans="1:18">
      <c r="A14" s="275" t="s">
        <v>294</v>
      </c>
      <c r="B14" s="286">
        <f>SUM(B15:B19)</f>
        <v>0</v>
      </c>
      <c r="C14" s="314">
        <f t="shared" si="0"/>
        <v>0</v>
      </c>
      <c r="D14" s="276">
        <f t="shared" si="4"/>
        <v>0</v>
      </c>
      <c r="E14" s="276">
        <f t="shared" si="1"/>
        <v>0</v>
      </c>
      <c r="F14" s="286">
        <f>SUM(F15:F19)</f>
        <v>0</v>
      </c>
      <c r="G14" s="286">
        <f t="shared" ref="G14:Q14" si="10">SUM(G15:G19)</f>
        <v>0</v>
      </c>
      <c r="H14" s="286">
        <f t="shared" si="10"/>
        <v>0</v>
      </c>
      <c r="I14" s="286">
        <f t="shared" si="10"/>
        <v>0</v>
      </c>
      <c r="J14" s="286">
        <f t="shared" si="10"/>
        <v>0</v>
      </c>
      <c r="K14" s="286">
        <f t="shared" si="10"/>
        <v>0</v>
      </c>
      <c r="L14" s="286">
        <f t="shared" si="10"/>
        <v>0</v>
      </c>
      <c r="M14" s="286">
        <f t="shared" si="10"/>
        <v>0</v>
      </c>
      <c r="N14" s="286">
        <f t="shared" si="10"/>
        <v>0</v>
      </c>
      <c r="O14" s="286">
        <f t="shared" si="10"/>
        <v>0</v>
      </c>
      <c r="P14" s="286">
        <f t="shared" si="10"/>
        <v>0</v>
      </c>
      <c r="Q14" s="286">
        <f t="shared" si="10"/>
        <v>0</v>
      </c>
      <c r="R14" s="90">
        <f t="shared" si="3"/>
        <v>0</v>
      </c>
    </row>
    <row r="15" spans="1:18">
      <c r="A15" s="280" t="s">
        <v>295</v>
      </c>
      <c r="B15" s="283"/>
      <c r="C15" s="314">
        <f t="shared" si="0"/>
        <v>0</v>
      </c>
      <c r="D15" s="276">
        <f t="shared" si="4"/>
        <v>0</v>
      </c>
      <c r="E15" s="276">
        <f t="shared" si="1"/>
        <v>0</v>
      </c>
      <c r="F15" s="283">
        <v>0</v>
      </c>
      <c r="G15" s="283">
        <v>0</v>
      </c>
      <c r="H15" s="283">
        <v>0</v>
      </c>
      <c r="I15" s="283">
        <v>0</v>
      </c>
      <c r="J15" s="283">
        <v>0</v>
      </c>
      <c r="K15" s="283">
        <v>0</v>
      </c>
      <c r="L15" s="283">
        <v>0</v>
      </c>
      <c r="M15" s="283"/>
      <c r="N15" s="283"/>
      <c r="O15" s="283"/>
      <c r="P15" s="283"/>
      <c r="Q15" s="283"/>
      <c r="R15" s="90">
        <f t="shared" si="3"/>
        <v>0</v>
      </c>
    </row>
    <row r="16" spans="1:18">
      <c r="A16" s="280" t="s">
        <v>296</v>
      </c>
      <c r="B16" s="283"/>
      <c r="C16" s="314">
        <f t="shared" si="0"/>
        <v>0</v>
      </c>
      <c r="D16" s="276">
        <f t="shared" si="4"/>
        <v>0</v>
      </c>
      <c r="E16" s="276">
        <f t="shared" si="1"/>
        <v>0</v>
      </c>
      <c r="F16" s="283">
        <v>0</v>
      </c>
      <c r="G16" s="283">
        <v>0</v>
      </c>
      <c r="H16" s="283">
        <v>0</v>
      </c>
      <c r="I16" s="283">
        <v>0</v>
      </c>
      <c r="J16" s="283">
        <v>0</v>
      </c>
      <c r="K16" s="283">
        <v>0</v>
      </c>
      <c r="L16" s="283">
        <v>0</v>
      </c>
      <c r="M16" s="283"/>
      <c r="N16" s="283"/>
      <c r="O16" s="283"/>
      <c r="P16" s="283"/>
      <c r="Q16" s="283"/>
      <c r="R16" s="90">
        <f t="shared" si="3"/>
        <v>0</v>
      </c>
    </row>
    <row r="17" spans="1:18">
      <c r="A17" s="277" t="s">
        <v>297</v>
      </c>
      <c r="B17" s="283"/>
      <c r="C17" s="314">
        <f t="shared" si="0"/>
        <v>0</v>
      </c>
      <c r="D17" s="276">
        <f t="shared" si="4"/>
        <v>0</v>
      </c>
      <c r="E17" s="276">
        <f t="shared" si="1"/>
        <v>0</v>
      </c>
      <c r="F17" s="283">
        <v>0</v>
      </c>
      <c r="G17" s="283">
        <v>0</v>
      </c>
      <c r="H17" s="283">
        <v>0</v>
      </c>
      <c r="I17" s="283">
        <v>0</v>
      </c>
      <c r="J17" s="283">
        <v>0</v>
      </c>
      <c r="K17" s="283">
        <v>0</v>
      </c>
      <c r="L17" s="283">
        <v>0</v>
      </c>
      <c r="M17" s="283"/>
      <c r="N17" s="283"/>
      <c r="O17" s="283"/>
      <c r="P17" s="283"/>
      <c r="Q17" s="283"/>
      <c r="R17" s="90">
        <f t="shared" si="3"/>
        <v>0</v>
      </c>
    </row>
    <row r="18" spans="1:18">
      <c r="A18" s="277" t="s">
        <v>298</v>
      </c>
      <c r="B18" s="283"/>
      <c r="C18" s="314">
        <f t="shared" si="0"/>
        <v>0</v>
      </c>
      <c r="D18" s="276">
        <f t="shared" si="4"/>
        <v>0</v>
      </c>
      <c r="E18" s="276">
        <f t="shared" si="1"/>
        <v>0</v>
      </c>
      <c r="F18" s="283">
        <v>0</v>
      </c>
      <c r="G18" s="283">
        <v>0</v>
      </c>
      <c r="H18" s="283">
        <v>0</v>
      </c>
      <c r="I18" s="283">
        <v>0</v>
      </c>
      <c r="J18" s="283">
        <v>0</v>
      </c>
      <c r="K18" s="283">
        <v>0</v>
      </c>
      <c r="L18" s="283">
        <v>0</v>
      </c>
      <c r="M18" s="283"/>
      <c r="N18" s="283"/>
      <c r="O18" s="283"/>
      <c r="P18" s="283"/>
      <c r="Q18" s="283"/>
      <c r="R18" s="90">
        <f t="shared" si="3"/>
        <v>0</v>
      </c>
    </row>
    <row r="19" spans="1:18">
      <c r="A19" s="277" t="s">
        <v>299</v>
      </c>
      <c r="B19" s="283"/>
      <c r="C19" s="314">
        <f t="shared" ref="C19" si="11">IFERROR(E19/B19,0)</f>
        <v>0</v>
      </c>
      <c r="D19" s="276">
        <f t="shared" ref="D19" si="12">INDEX(F19:Q19,MATCH(--MID($A$3,9,2)&amp;"月",$F$5:$Q$5,))</f>
        <v>0</v>
      </c>
      <c r="E19" s="276">
        <f t="shared" ref="E19" si="13">SUM(F19:Q19)</f>
        <v>0</v>
      </c>
      <c r="F19" s="283">
        <v>0</v>
      </c>
      <c r="G19" s="283">
        <v>0</v>
      </c>
      <c r="H19" s="283">
        <v>0</v>
      </c>
      <c r="I19" s="283">
        <v>0</v>
      </c>
      <c r="J19" s="283">
        <v>0</v>
      </c>
      <c r="K19" s="283">
        <v>0</v>
      </c>
      <c r="L19" s="283">
        <v>0</v>
      </c>
      <c r="M19" s="283"/>
      <c r="N19" s="283"/>
      <c r="O19" s="283"/>
      <c r="P19" s="283"/>
      <c r="Q19" s="283"/>
      <c r="R19" s="90">
        <f t="shared" si="3"/>
        <v>0</v>
      </c>
    </row>
    <row r="20" spans="1:18">
      <c r="A20" s="275" t="s">
        <v>300</v>
      </c>
      <c r="B20" s="283"/>
      <c r="C20" s="314">
        <f t="shared" si="0"/>
        <v>0</v>
      </c>
      <c r="D20" s="276">
        <f t="shared" si="4"/>
        <v>660</v>
      </c>
      <c r="E20" s="276">
        <f t="shared" si="1"/>
        <v>208306.45</v>
      </c>
      <c r="F20" s="283">
        <v>0</v>
      </c>
      <c r="G20" s="283">
        <v>0</v>
      </c>
      <c r="H20" s="283">
        <v>0</v>
      </c>
      <c r="I20" s="283">
        <v>0</v>
      </c>
      <c r="J20" s="283">
        <v>66842.7</v>
      </c>
      <c r="K20" s="283">
        <v>0</v>
      </c>
      <c r="L20" s="283">
        <v>0</v>
      </c>
      <c r="M20" s="283"/>
      <c r="N20" s="283"/>
      <c r="O20" s="283">
        <v>140803.75</v>
      </c>
      <c r="P20" s="283"/>
      <c r="Q20" s="283">
        <v>660</v>
      </c>
      <c r="R20" s="90">
        <f t="shared" si="3"/>
        <v>0</v>
      </c>
    </row>
    <row r="21" spans="1:18">
      <c r="A21" s="275" t="s">
        <v>301</v>
      </c>
      <c r="B21" s="283"/>
      <c r="C21" s="314">
        <f t="shared" si="0"/>
        <v>0</v>
      </c>
      <c r="D21" s="276">
        <f t="shared" si="4"/>
        <v>178.88</v>
      </c>
      <c r="E21" s="276">
        <f t="shared" si="1"/>
        <v>554536.83000000019</v>
      </c>
      <c r="F21" s="283">
        <v>181327.86</v>
      </c>
      <c r="G21" s="283">
        <v>91126.45</v>
      </c>
      <c r="H21" s="283">
        <v>88746.45</v>
      </c>
      <c r="I21" s="283">
        <v>55236.05</v>
      </c>
      <c r="J21" s="283">
        <v>77949.63</v>
      </c>
      <c r="K21" s="283">
        <v>59076.91</v>
      </c>
      <c r="L21" s="283">
        <v>178.92</v>
      </c>
      <c r="M21" s="283">
        <v>178.92</v>
      </c>
      <c r="N21" s="283">
        <v>178.92</v>
      </c>
      <c r="O21" s="283">
        <v>178.92</v>
      </c>
      <c r="P21" s="283">
        <v>178.92</v>
      </c>
      <c r="Q21" s="283">
        <v>178.88</v>
      </c>
      <c r="R21" s="90">
        <f t="shared" si="3"/>
        <v>0</v>
      </c>
    </row>
    <row r="22" spans="1:18">
      <c r="A22" s="275" t="s">
        <v>302</v>
      </c>
      <c r="B22" s="283"/>
      <c r="C22" s="314">
        <f t="shared" si="0"/>
        <v>0</v>
      </c>
      <c r="D22" s="276">
        <f t="shared" si="4"/>
        <v>459311.66000000015</v>
      </c>
      <c r="E22" s="276">
        <f t="shared" si="1"/>
        <v>11760649.949999997</v>
      </c>
      <c r="F22" s="283">
        <v>1156596.46</v>
      </c>
      <c r="G22" s="283">
        <v>334972.74</v>
      </c>
      <c r="H22" s="283">
        <v>1202203.93</v>
      </c>
      <c r="I22" s="283">
        <v>553894.11</v>
      </c>
      <c r="J22" s="283">
        <v>233946.07</v>
      </c>
      <c r="K22" s="283">
        <v>4548577.34</v>
      </c>
      <c r="L22" s="283">
        <v>496221.33</v>
      </c>
      <c r="M22" s="283">
        <v>580538.9299999997</v>
      </c>
      <c r="N22" s="283">
        <v>2156186.8599999994</v>
      </c>
      <c r="O22" s="283">
        <v>-120767.58999999985</v>
      </c>
      <c r="P22" s="283">
        <v>158968.10999999999</v>
      </c>
      <c r="Q22" s="283">
        <v>459311.66000000015</v>
      </c>
      <c r="R22" s="90">
        <f t="shared" si="3"/>
        <v>0</v>
      </c>
    </row>
    <row r="23" spans="1:18">
      <c r="A23" s="275" t="s">
        <v>303</v>
      </c>
      <c r="B23" s="283"/>
      <c r="C23" s="314">
        <f t="shared" si="0"/>
        <v>0</v>
      </c>
      <c r="D23" s="276">
        <f t="shared" si="4"/>
        <v>-1534.4799999999996</v>
      </c>
      <c r="E23" s="276">
        <f t="shared" si="1"/>
        <v>-16072</v>
      </c>
      <c r="F23" s="283">
        <v>794.98</v>
      </c>
      <c r="G23" s="283">
        <v>33</v>
      </c>
      <c r="H23" s="283">
        <v>-6919.22</v>
      </c>
      <c r="I23" s="283">
        <v>104</v>
      </c>
      <c r="J23" s="283">
        <v>179.89</v>
      </c>
      <c r="K23" s="283">
        <v>-6790.26</v>
      </c>
      <c r="L23" s="283">
        <v>236</v>
      </c>
      <c r="M23" s="283">
        <v>201</v>
      </c>
      <c r="N23" s="283">
        <v>-2415.91</v>
      </c>
      <c r="O23" s="283">
        <v>25</v>
      </c>
      <c r="P23" s="283">
        <v>14</v>
      </c>
      <c r="Q23" s="283">
        <v>-1534.4799999999996</v>
      </c>
      <c r="R23" s="90">
        <f t="shared" si="3"/>
        <v>0</v>
      </c>
    </row>
    <row r="24" spans="1:18">
      <c r="A24" s="277" t="s">
        <v>304</v>
      </c>
      <c r="B24" s="283"/>
      <c r="C24" s="314">
        <f t="shared" si="0"/>
        <v>0</v>
      </c>
      <c r="D24" s="276">
        <f t="shared" si="4"/>
        <v>0</v>
      </c>
      <c r="E24" s="276">
        <f t="shared" si="1"/>
        <v>0</v>
      </c>
      <c r="F24" s="283">
        <v>0</v>
      </c>
      <c r="G24" s="283">
        <v>0</v>
      </c>
      <c r="H24" s="283">
        <v>0</v>
      </c>
      <c r="I24" s="283">
        <v>0</v>
      </c>
      <c r="J24" s="283">
        <v>0</v>
      </c>
      <c r="K24" s="283">
        <v>0</v>
      </c>
      <c r="L24" s="283">
        <v>0</v>
      </c>
      <c r="M24" s="283"/>
      <c r="N24" s="283"/>
      <c r="O24" s="283"/>
      <c r="P24" s="283"/>
      <c r="Q24" s="283"/>
      <c r="R24" s="90">
        <f t="shared" si="3"/>
        <v>0</v>
      </c>
    </row>
    <row r="25" spans="1:18">
      <c r="A25" s="277" t="s">
        <v>305</v>
      </c>
      <c r="B25" s="283"/>
      <c r="C25" s="314">
        <f t="shared" si="0"/>
        <v>0</v>
      </c>
      <c r="D25" s="276">
        <f t="shared" si="4"/>
        <v>-2639.4799999999996</v>
      </c>
      <c r="E25" s="276">
        <f t="shared" si="1"/>
        <v>-19632.02</v>
      </c>
      <c r="F25" s="283">
        <v>0</v>
      </c>
      <c r="G25" s="283">
        <v>0</v>
      </c>
      <c r="H25" s="283">
        <v>-7290.22</v>
      </c>
      <c r="I25" s="283">
        <v>0</v>
      </c>
      <c r="J25" s="283">
        <v>0</v>
      </c>
      <c r="K25" s="283">
        <v>-7070.26</v>
      </c>
      <c r="L25" s="283">
        <v>0</v>
      </c>
      <c r="M25" s="283"/>
      <c r="N25" s="283">
        <v>-2632.0600000000013</v>
      </c>
      <c r="O25" s="283"/>
      <c r="P25" s="283"/>
      <c r="Q25" s="283">
        <v>-2639.4799999999996</v>
      </c>
      <c r="R25" s="90">
        <f t="shared" si="3"/>
        <v>0</v>
      </c>
    </row>
    <row r="26" spans="1:18">
      <c r="A26" s="275" t="s">
        <v>306</v>
      </c>
      <c r="B26" s="283"/>
      <c r="C26" s="314">
        <f t="shared" si="0"/>
        <v>0</v>
      </c>
      <c r="D26" s="276">
        <f t="shared" si="4"/>
        <v>0</v>
      </c>
      <c r="E26" s="276">
        <f t="shared" si="1"/>
        <v>0</v>
      </c>
      <c r="F26" s="283">
        <v>0</v>
      </c>
      <c r="G26" s="283">
        <v>0</v>
      </c>
      <c r="H26" s="283">
        <v>0</v>
      </c>
      <c r="I26" s="283">
        <v>0</v>
      </c>
      <c r="J26" s="283">
        <v>0</v>
      </c>
      <c r="K26" s="283">
        <v>0</v>
      </c>
      <c r="L26" s="283">
        <v>0</v>
      </c>
      <c r="M26" s="283"/>
      <c r="N26" s="283"/>
      <c r="O26" s="283"/>
      <c r="P26" s="283"/>
      <c r="Q26" s="283"/>
      <c r="R26" s="90">
        <f t="shared" si="3"/>
        <v>0</v>
      </c>
    </row>
    <row r="27" spans="1:18">
      <c r="A27" s="275" t="s">
        <v>307</v>
      </c>
      <c r="B27" s="283"/>
      <c r="C27" s="314">
        <f t="shared" si="0"/>
        <v>0</v>
      </c>
      <c r="D27" s="276">
        <f t="shared" si="4"/>
        <v>0</v>
      </c>
      <c r="E27" s="276">
        <f t="shared" si="1"/>
        <v>0</v>
      </c>
      <c r="F27" s="283">
        <v>0</v>
      </c>
      <c r="G27" s="283">
        <v>0</v>
      </c>
      <c r="H27" s="283">
        <v>0</v>
      </c>
      <c r="I27" s="283">
        <v>0</v>
      </c>
      <c r="J27" s="283">
        <v>0</v>
      </c>
      <c r="K27" s="283">
        <v>0</v>
      </c>
      <c r="L27" s="283">
        <v>0</v>
      </c>
      <c r="M27" s="283"/>
      <c r="N27" s="283"/>
      <c r="O27" s="283"/>
      <c r="P27" s="283"/>
      <c r="Q27" s="283"/>
      <c r="R27" s="90">
        <f t="shared" si="3"/>
        <v>0</v>
      </c>
    </row>
    <row r="28" spans="1:18">
      <c r="A28" s="275" t="s">
        <v>308</v>
      </c>
      <c r="B28" s="283"/>
      <c r="C28" s="314">
        <f t="shared" si="0"/>
        <v>0</v>
      </c>
      <c r="D28" s="276">
        <f t="shared" si="4"/>
        <v>0</v>
      </c>
      <c r="E28" s="276">
        <f t="shared" si="1"/>
        <v>0</v>
      </c>
      <c r="F28" s="283">
        <v>0</v>
      </c>
      <c r="G28" s="283">
        <v>0</v>
      </c>
      <c r="H28" s="283">
        <v>0</v>
      </c>
      <c r="I28" s="283">
        <v>0</v>
      </c>
      <c r="J28" s="283">
        <v>0</v>
      </c>
      <c r="K28" s="283">
        <v>0</v>
      </c>
      <c r="L28" s="283">
        <v>0</v>
      </c>
      <c r="M28" s="283"/>
      <c r="N28" s="283"/>
      <c r="O28" s="283"/>
      <c r="P28" s="283"/>
      <c r="Q28" s="283"/>
      <c r="R28" s="90">
        <f t="shared" si="3"/>
        <v>0</v>
      </c>
    </row>
    <row r="29" spans="1:18">
      <c r="A29" s="280" t="s">
        <v>309</v>
      </c>
      <c r="B29" s="283"/>
      <c r="C29" s="314">
        <f t="shared" si="0"/>
        <v>0</v>
      </c>
      <c r="D29" s="276">
        <f t="shared" si="4"/>
        <v>0</v>
      </c>
      <c r="E29" s="276">
        <f t="shared" si="1"/>
        <v>0</v>
      </c>
      <c r="F29" s="283">
        <v>0</v>
      </c>
      <c r="G29" s="283">
        <v>0</v>
      </c>
      <c r="H29" s="283">
        <v>0</v>
      </c>
      <c r="I29" s="283">
        <v>0</v>
      </c>
      <c r="J29" s="283">
        <v>0</v>
      </c>
      <c r="K29" s="283">
        <v>0</v>
      </c>
      <c r="L29" s="283">
        <v>0</v>
      </c>
      <c r="M29" s="283"/>
      <c r="N29" s="283"/>
      <c r="O29" s="283"/>
      <c r="P29" s="283"/>
      <c r="Q29" s="283"/>
      <c r="R29" s="90">
        <f t="shared" si="3"/>
        <v>0</v>
      </c>
    </row>
    <row r="30" spans="1:18">
      <c r="A30" s="275" t="s">
        <v>310</v>
      </c>
      <c r="B30" s="283"/>
      <c r="C30" s="314">
        <f t="shared" si="0"/>
        <v>0</v>
      </c>
      <c r="D30" s="276">
        <f t="shared" si="4"/>
        <v>0</v>
      </c>
      <c r="E30" s="276">
        <f t="shared" si="1"/>
        <v>0</v>
      </c>
      <c r="F30" s="283">
        <v>0</v>
      </c>
      <c r="G30" s="283">
        <v>0</v>
      </c>
      <c r="H30" s="283">
        <v>0</v>
      </c>
      <c r="I30" s="283">
        <v>0</v>
      </c>
      <c r="J30" s="283">
        <v>0</v>
      </c>
      <c r="K30" s="283">
        <v>0</v>
      </c>
      <c r="L30" s="283">
        <v>0</v>
      </c>
      <c r="M30" s="283"/>
      <c r="N30" s="283"/>
      <c r="O30" s="283"/>
      <c r="P30" s="283"/>
      <c r="Q30" s="283"/>
      <c r="R30" s="90">
        <f t="shared" si="3"/>
        <v>0</v>
      </c>
    </row>
    <row r="31" spans="1:18">
      <c r="A31" s="287" t="s">
        <v>311</v>
      </c>
      <c r="B31" s="283"/>
      <c r="C31" s="314">
        <f t="shared" si="0"/>
        <v>0</v>
      </c>
      <c r="D31" s="276">
        <f t="shared" si="4"/>
        <v>0</v>
      </c>
      <c r="E31" s="276">
        <f t="shared" si="1"/>
        <v>0</v>
      </c>
      <c r="F31" s="283">
        <v>0</v>
      </c>
      <c r="G31" s="283">
        <v>0</v>
      </c>
      <c r="H31" s="283">
        <v>0</v>
      </c>
      <c r="I31" s="283">
        <v>0</v>
      </c>
      <c r="J31" s="283">
        <v>0</v>
      </c>
      <c r="K31" s="283">
        <v>0</v>
      </c>
      <c r="L31" s="283">
        <v>0</v>
      </c>
      <c r="M31" s="283"/>
      <c r="N31" s="283"/>
      <c r="O31" s="283"/>
      <c r="P31" s="283"/>
      <c r="Q31" s="283"/>
      <c r="R31" s="90">
        <f t="shared" si="3"/>
        <v>0</v>
      </c>
    </row>
    <row r="32" spans="1:18">
      <c r="A32" s="272" t="s">
        <v>312</v>
      </c>
      <c r="B32" s="276">
        <f>B6-B13-B26+B27+B28+B30+B31</f>
        <v>0</v>
      </c>
      <c r="C32" s="312">
        <f t="shared" si="0"/>
        <v>0</v>
      </c>
      <c r="D32" s="276">
        <f t="shared" si="4"/>
        <v>-458616.06000000017</v>
      </c>
      <c r="E32" s="276">
        <f t="shared" si="1"/>
        <v>-12507421.229999999</v>
      </c>
      <c r="F32" s="276">
        <f t="shared" ref="F32:Q32" si="14">F6-F13-F26+F27+F28+F30+F31</f>
        <v>-1338719.2999999998</v>
      </c>
      <c r="G32" s="276">
        <f t="shared" si="14"/>
        <v>-426132.19</v>
      </c>
      <c r="H32" s="276">
        <f t="shared" si="14"/>
        <v>-1284031.1599999999</v>
      </c>
      <c r="I32" s="276">
        <f t="shared" si="14"/>
        <v>-609234.16</v>
      </c>
      <c r="J32" s="276">
        <f t="shared" si="14"/>
        <v>-378918.29000000004</v>
      </c>
      <c r="K32" s="276">
        <f t="shared" si="14"/>
        <v>-4600863.99</v>
      </c>
      <c r="L32" s="276">
        <f t="shared" si="14"/>
        <v>-496636.25</v>
      </c>
      <c r="M32" s="276">
        <f t="shared" si="14"/>
        <v>-580918.84999999974</v>
      </c>
      <c r="N32" s="276">
        <f t="shared" si="14"/>
        <v>-2153949.8699999992</v>
      </c>
      <c r="O32" s="276">
        <f t="shared" si="14"/>
        <v>-20240.080000000162</v>
      </c>
      <c r="P32" s="276">
        <f t="shared" si="14"/>
        <v>-159161.03</v>
      </c>
      <c r="Q32" s="276">
        <f t="shared" si="14"/>
        <v>-458616.06000000017</v>
      </c>
      <c r="R32" s="90">
        <f t="shared" si="3"/>
        <v>0</v>
      </c>
    </row>
    <row r="33" spans="1:18">
      <c r="A33" s="275" t="s">
        <v>313</v>
      </c>
      <c r="B33" s="283"/>
      <c r="C33" s="314">
        <f t="shared" si="0"/>
        <v>0</v>
      </c>
      <c r="D33" s="276">
        <f t="shared" si="4"/>
        <v>0</v>
      </c>
      <c r="E33" s="276">
        <f t="shared" si="1"/>
        <v>37473</v>
      </c>
      <c r="F33" s="283">
        <v>0</v>
      </c>
      <c r="G33" s="283">
        <v>0</v>
      </c>
      <c r="H33" s="283">
        <v>0</v>
      </c>
      <c r="I33" s="283">
        <v>37473</v>
      </c>
      <c r="J33" s="283">
        <v>0</v>
      </c>
      <c r="K33" s="283">
        <v>0</v>
      </c>
      <c r="L33" s="283">
        <v>0</v>
      </c>
      <c r="M33" s="283"/>
      <c r="N33" s="283"/>
      <c r="O33" s="283"/>
      <c r="P33" s="283"/>
      <c r="Q33" s="283"/>
      <c r="R33" s="90">
        <f t="shared" si="3"/>
        <v>0</v>
      </c>
    </row>
    <row r="34" spans="1:18">
      <c r="A34" s="275" t="s">
        <v>314</v>
      </c>
      <c r="B34" s="283"/>
      <c r="C34" s="314">
        <f t="shared" si="0"/>
        <v>0</v>
      </c>
      <c r="D34" s="276">
        <f t="shared" si="4"/>
        <v>0</v>
      </c>
      <c r="E34" s="276">
        <f t="shared" si="1"/>
        <v>0</v>
      </c>
      <c r="F34" s="283">
        <v>0</v>
      </c>
      <c r="G34" s="283">
        <v>0</v>
      </c>
      <c r="H34" s="283">
        <v>0</v>
      </c>
      <c r="I34" s="283">
        <v>0</v>
      </c>
      <c r="J34" s="283">
        <v>0</v>
      </c>
      <c r="K34" s="283">
        <v>0</v>
      </c>
      <c r="L34" s="283">
        <v>0</v>
      </c>
      <c r="M34" s="283"/>
      <c r="N34" s="283"/>
      <c r="O34" s="283"/>
      <c r="P34" s="283"/>
      <c r="Q34" s="283"/>
      <c r="R34" s="90">
        <f t="shared" si="3"/>
        <v>0</v>
      </c>
    </row>
    <row r="35" spans="1:18">
      <c r="A35" s="272" t="s">
        <v>315</v>
      </c>
      <c r="B35" s="276">
        <f>B32+B33-B34</f>
        <v>0</v>
      </c>
      <c r="C35" s="312">
        <f t="shared" si="0"/>
        <v>0</v>
      </c>
      <c r="D35" s="276">
        <f t="shared" si="4"/>
        <v>-458616.06000000017</v>
      </c>
      <c r="E35" s="276">
        <f t="shared" si="1"/>
        <v>-12469948.229999999</v>
      </c>
      <c r="F35" s="276">
        <f>F32+F33-F34</f>
        <v>-1338719.2999999998</v>
      </c>
      <c r="G35" s="276">
        <f t="shared" ref="G35:Q35" si="15">G32+G33-G34</f>
        <v>-426132.19</v>
      </c>
      <c r="H35" s="276">
        <f t="shared" si="15"/>
        <v>-1284031.1599999999</v>
      </c>
      <c r="I35" s="276">
        <f t="shared" si="15"/>
        <v>-571761.16</v>
      </c>
      <c r="J35" s="276">
        <f t="shared" si="15"/>
        <v>-378918.29000000004</v>
      </c>
      <c r="K35" s="276">
        <f t="shared" si="15"/>
        <v>-4600863.99</v>
      </c>
      <c r="L35" s="276">
        <f t="shared" si="15"/>
        <v>-496636.25</v>
      </c>
      <c r="M35" s="276">
        <f t="shared" si="15"/>
        <v>-580918.84999999974</v>
      </c>
      <c r="N35" s="276">
        <f t="shared" si="15"/>
        <v>-2153949.8699999992</v>
      </c>
      <c r="O35" s="276">
        <f t="shared" si="15"/>
        <v>-20240.080000000162</v>
      </c>
      <c r="P35" s="276">
        <f t="shared" si="15"/>
        <v>-159161.03</v>
      </c>
      <c r="Q35" s="276">
        <f t="shared" si="15"/>
        <v>-458616.06000000017</v>
      </c>
      <c r="R35" s="90">
        <f t="shared" si="3"/>
        <v>0</v>
      </c>
    </row>
    <row r="36" spans="1:18">
      <c r="A36" s="275" t="s">
        <v>316</v>
      </c>
      <c r="B36" s="283"/>
      <c r="C36" s="314">
        <f t="shared" si="0"/>
        <v>0</v>
      </c>
      <c r="D36" s="276">
        <f t="shared" si="4"/>
        <v>0</v>
      </c>
      <c r="E36" s="276">
        <f t="shared" si="1"/>
        <v>0</v>
      </c>
      <c r="F36" s="283">
        <v>0</v>
      </c>
      <c r="G36" s="283">
        <v>0</v>
      </c>
      <c r="H36" s="283">
        <v>0</v>
      </c>
      <c r="I36" s="283">
        <v>0</v>
      </c>
      <c r="J36" s="283">
        <v>0</v>
      </c>
      <c r="K36" s="283">
        <v>0</v>
      </c>
      <c r="L36" s="283">
        <v>0</v>
      </c>
      <c r="M36" s="283"/>
      <c r="N36" s="283"/>
      <c r="O36" s="283"/>
      <c r="P36" s="283"/>
      <c r="Q36" s="283"/>
      <c r="R36" s="90">
        <f t="shared" si="3"/>
        <v>0</v>
      </c>
    </row>
    <row r="37" spans="1:18">
      <c r="A37" s="272" t="s">
        <v>317</v>
      </c>
      <c r="B37" s="276">
        <f>B35-B36</f>
        <v>0</v>
      </c>
      <c r="C37" s="312">
        <f t="shared" si="0"/>
        <v>0</v>
      </c>
      <c r="D37" s="276">
        <f t="shared" si="4"/>
        <v>-458616.06000000017</v>
      </c>
      <c r="E37" s="276">
        <f t="shared" si="1"/>
        <v>-12469948.229999999</v>
      </c>
      <c r="F37" s="276">
        <f t="shared" ref="F37:Q37" si="16">F35-F36</f>
        <v>-1338719.2999999998</v>
      </c>
      <c r="G37" s="276">
        <f t="shared" si="16"/>
        <v>-426132.19</v>
      </c>
      <c r="H37" s="276">
        <f t="shared" si="16"/>
        <v>-1284031.1599999999</v>
      </c>
      <c r="I37" s="276">
        <f t="shared" si="16"/>
        <v>-571761.16</v>
      </c>
      <c r="J37" s="276">
        <f t="shared" si="16"/>
        <v>-378918.29000000004</v>
      </c>
      <c r="K37" s="276">
        <f t="shared" si="16"/>
        <v>-4600863.99</v>
      </c>
      <c r="L37" s="276">
        <f t="shared" si="16"/>
        <v>-496636.25</v>
      </c>
      <c r="M37" s="276">
        <f t="shared" si="16"/>
        <v>-580918.84999999974</v>
      </c>
      <c r="N37" s="276">
        <f t="shared" si="16"/>
        <v>-2153949.8699999992</v>
      </c>
      <c r="O37" s="276">
        <f t="shared" si="16"/>
        <v>-20240.080000000162</v>
      </c>
      <c r="P37" s="276">
        <f t="shared" si="16"/>
        <v>-159161.03</v>
      </c>
      <c r="Q37" s="276">
        <f t="shared" si="16"/>
        <v>-458616.06000000017</v>
      </c>
      <c r="R37" s="90">
        <f t="shared" si="3"/>
        <v>0</v>
      </c>
    </row>
    <row r="38" spans="1:18">
      <c r="A38" s="275" t="s">
        <v>318</v>
      </c>
      <c r="B38" s="286">
        <f>B37-B39</f>
        <v>0</v>
      </c>
      <c r="C38" s="314">
        <f t="shared" si="0"/>
        <v>0</v>
      </c>
      <c r="D38" s="276">
        <f t="shared" si="4"/>
        <v>-458616.06000000017</v>
      </c>
      <c r="E38" s="276">
        <f t="shared" si="1"/>
        <v>-12469948.229999999</v>
      </c>
      <c r="F38" s="286">
        <f t="shared" ref="F38:Q38" si="17">F37-F39</f>
        <v>-1338719.2999999998</v>
      </c>
      <c r="G38" s="286">
        <f t="shared" si="17"/>
        <v>-426132.19</v>
      </c>
      <c r="H38" s="286">
        <f t="shared" si="17"/>
        <v>-1284031.1599999999</v>
      </c>
      <c r="I38" s="286">
        <f t="shared" si="17"/>
        <v>-571761.16</v>
      </c>
      <c r="J38" s="286">
        <f t="shared" si="17"/>
        <v>-378918.29000000004</v>
      </c>
      <c r="K38" s="286">
        <f t="shared" si="17"/>
        <v>-4600863.99</v>
      </c>
      <c r="L38" s="286">
        <f t="shared" si="17"/>
        <v>-496636.25</v>
      </c>
      <c r="M38" s="286">
        <f t="shared" si="17"/>
        <v>-580918.84999999974</v>
      </c>
      <c r="N38" s="286">
        <f t="shared" si="17"/>
        <v>-2153949.8699999992</v>
      </c>
      <c r="O38" s="286">
        <f t="shared" si="17"/>
        <v>-20240.080000000162</v>
      </c>
      <c r="P38" s="286">
        <f t="shared" si="17"/>
        <v>-159161.03</v>
      </c>
      <c r="Q38" s="286">
        <f t="shared" si="17"/>
        <v>-458616.06000000017</v>
      </c>
      <c r="R38" s="90">
        <f t="shared" si="3"/>
        <v>0</v>
      </c>
    </row>
    <row r="39" spans="1:18">
      <c r="A39" s="275" t="s">
        <v>319</v>
      </c>
      <c r="B39" s="283"/>
      <c r="C39" s="314">
        <f t="shared" si="0"/>
        <v>0</v>
      </c>
      <c r="D39" s="276">
        <f t="shared" si="4"/>
        <v>0</v>
      </c>
      <c r="E39" s="276">
        <f t="shared" si="1"/>
        <v>0</v>
      </c>
      <c r="F39" s="283">
        <v>0</v>
      </c>
      <c r="G39" s="283">
        <v>0</v>
      </c>
      <c r="H39" s="283">
        <v>0</v>
      </c>
      <c r="I39" s="283">
        <v>0</v>
      </c>
      <c r="J39" s="283">
        <v>0</v>
      </c>
      <c r="K39" s="283">
        <v>0</v>
      </c>
      <c r="L39" s="283">
        <v>0</v>
      </c>
      <c r="M39" s="283">
        <v>0</v>
      </c>
      <c r="N39" s="283">
        <v>0</v>
      </c>
      <c r="O39" s="283">
        <v>0</v>
      </c>
      <c r="P39" s="283">
        <v>0</v>
      </c>
      <c r="Q39" s="283">
        <v>0</v>
      </c>
      <c r="R39" s="90">
        <f t="shared" si="3"/>
        <v>0</v>
      </c>
    </row>
    <row r="40" spans="1:18" hidden="1" outlineLevel="1">
      <c r="A40" s="275" t="s">
        <v>320</v>
      </c>
      <c r="B40" s="286">
        <f>B37-B41</f>
        <v>0</v>
      </c>
      <c r="C40" s="314">
        <f t="shared" ref="C40:C57" si="18">IFERROR(E40/B40,0)</f>
        <v>0</v>
      </c>
      <c r="D40" s="315">
        <f t="shared" si="4"/>
        <v>-458616.06000000017</v>
      </c>
      <c r="E40" s="276">
        <f t="shared" ref="E40:E57" si="19">SUM(F40:Q40)</f>
        <v>-12469948.229999999</v>
      </c>
      <c r="F40" s="286">
        <f t="shared" ref="F40:Q40" si="20">F37-F41</f>
        <v>-1338719.2999999998</v>
      </c>
      <c r="G40" s="286">
        <f t="shared" si="20"/>
        <v>-426132.19</v>
      </c>
      <c r="H40" s="286">
        <f t="shared" si="20"/>
        <v>-1284031.1599999999</v>
      </c>
      <c r="I40" s="286">
        <f t="shared" si="20"/>
        <v>-571761.16</v>
      </c>
      <c r="J40" s="286">
        <f t="shared" si="20"/>
        <v>-378918.29000000004</v>
      </c>
      <c r="K40" s="286">
        <f t="shared" si="20"/>
        <v>-4600863.99</v>
      </c>
      <c r="L40" s="286">
        <f t="shared" si="20"/>
        <v>-496636.25</v>
      </c>
      <c r="M40" s="286">
        <f t="shared" si="20"/>
        <v>-580918.84999999974</v>
      </c>
      <c r="N40" s="286">
        <f t="shared" si="20"/>
        <v>-2153949.8699999992</v>
      </c>
      <c r="O40" s="286">
        <f t="shared" si="20"/>
        <v>-20240.080000000162</v>
      </c>
      <c r="P40" s="286">
        <f t="shared" si="20"/>
        <v>-159161.03</v>
      </c>
      <c r="Q40" s="286">
        <f t="shared" si="20"/>
        <v>-458616.06000000017</v>
      </c>
      <c r="R40" s="90">
        <f t="shared" ref="R40:R60" si="21">ROUND(E40-SUM(F40:Q40),2)</f>
        <v>0</v>
      </c>
    </row>
    <row r="41" spans="1:18" hidden="1" outlineLevel="1">
      <c r="A41" s="275" t="s">
        <v>321</v>
      </c>
      <c r="B41" s="316"/>
      <c r="C41" s="314">
        <f t="shared" si="18"/>
        <v>0</v>
      </c>
      <c r="D41" s="315">
        <f t="shared" si="4"/>
        <v>0</v>
      </c>
      <c r="E41" s="276">
        <f t="shared" si="19"/>
        <v>0</v>
      </c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316"/>
      <c r="Q41" s="316"/>
      <c r="R41" s="90">
        <f t="shared" si="21"/>
        <v>0</v>
      </c>
    </row>
    <row r="42" spans="1:18" hidden="1" outlineLevel="1">
      <c r="A42" s="272" t="s">
        <v>322</v>
      </c>
      <c r="B42" s="276">
        <f>B43+B54</f>
        <v>0</v>
      </c>
      <c r="C42" s="312">
        <f t="shared" si="18"/>
        <v>0</v>
      </c>
      <c r="D42" s="315">
        <f t="shared" si="4"/>
        <v>0</v>
      </c>
      <c r="E42" s="276">
        <f t="shared" si="19"/>
        <v>0</v>
      </c>
      <c r="F42" s="276">
        <f t="shared" ref="F42:Q42" si="22">F43+F54</f>
        <v>0</v>
      </c>
      <c r="G42" s="276">
        <f t="shared" si="22"/>
        <v>0</v>
      </c>
      <c r="H42" s="276">
        <f t="shared" si="22"/>
        <v>0</v>
      </c>
      <c r="I42" s="276">
        <f t="shared" si="22"/>
        <v>0</v>
      </c>
      <c r="J42" s="276">
        <f t="shared" si="22"/>
        <v>0</v>
      </c>
      <c r="K42" s="276">
        <f t="shared" si="22"/>
        <v>0</v>
      </c>
      <c r="L42" s="276">
        <f t="shared" si="22"/>
        <v>0</v>
      </c>
      <c r="M42" s="276">
        <f t="shared" si="22"/>
        <v>0</v>
      </c>
      <c r="N42" s="276">
        <f t="shared" si="22"/>
        <v>0</v>
      </c>
      <c r="O42" s="276">
        <f t="shared" si="22"/>
        <v>0</v>
      </c>
      <c r="P42" s="276">
        <f t="shared" si="22"/>
        <v>0</v>
      </c>
      <c r="Q42" s="276">
        <f t="shared" si="22"/>
        <v>0</v>
      </c>
      <c r="R42" s="90">
        <f t="shared" si="21"/>
        <v>0</v>
      </c>
    </row>
    <row r="43" spans="1:18" hidden="1" outlineLevel="1">
      <c r="A43" s="275" t="s">
        <v>323</v>
      </c>
      <c r="B43" s="316"/>
      <c r="C43" s="314">
        <f t="shared" si="18"/>
        <v>0</v>
      </c>
      <c r="D43" s="315">
        <f t="shared" si="4"/>
        <v>0</v>
      </c>
      <c r="E43" s="276">
        <f t="shared" si="19"/>
        <v>0</v>
      </c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90">
        <f t="shared" si="21"/>
        <v>0</v>
      </c>
    </row>
    <row r="44" spans="1:18" hidden="1" outlineLevel="1">
      <c r="A44" s="287" t="s">
        <v>324</v>
      </c>
      <c r="B44" s="316"/>
      <c r="C44" s="314">
        <f t="shared" si="18"/>
        <v>0</v>
      </c>
      <c r="D44" s="315">
        <f t="shared" si="4"/>
        <v>0</v>
      </c>
      <c r="E44" s="276">
        <f t="shared" si="19"/>
        <v>0</v>
      </c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90">
        <f t="shared" si="21"/>
        <v>0</v>
      </c>
    </row>
    <row r="45" spans="1:18" hidden="1" outlineLevel="1">
      <c r="A45" s="284" t="s">
        <v>325</v>
      </c>
      <c r="B45" s="316"/>
      <c r="C45" s="314">
        <f t="shared" si="18"/>
        <v>0</v>
      </c>
      <c r="D45" s="315">
        <f t="shared" si="4"/>
        <v>0</v>
      </c>
      <c r="E45" s="276">
        <f t="shared" si="19"/>
        <v>0</v>
      </c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90">
        <f t="shared" si="21"/>
        <v>0</v>
      </c>
    </row>
    <row r="46" spans="1:18" hidden="1" outlineLevel="1">
      <c r="A46" s="284" t="s">
        <v>326</v>
      </c>
      <c r="B46" s="316"/>
      <c r="C46" s="314">
        <f t="shared" si="18"/>
        <v>0</v>
      </c>
      <c r="D46" s="315">
        <f t="shared" si="4"/>
        <v>0</v>
      </c>
      <c r="E46" s="276">
        <f t="shared" si="19"/>
        <v>0</v>
      </c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6"/>
      <c r="R46" s="90">
        <f t="shared" si="21"/>
        <v>0</v>
      </c>
    </row>
    <row r="47" spans="1:18" hidden="1" outlineLevel="1">
      <c r="A47" s="275" t="s">
        <v>327</v>
      </c>
      <c r="B47" s="316"/>
      <c r="C47" s="314">
        <f t="shared" si="18"/>
        <v>0</v>
      </c>
      <c r="D47" s="315">
        <f t="shared" si="4"/>
        <v>0</v>
      </c>
      <c r="E47" s="276">
        <f t="shared" si="19"/>
        <v>0</v>
      </c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90">
        <f t="shared" si="21"/>
        <v>0</v>
      </c>
    </row>
    <row r="48" spans="1:18" hidden="1" outlineLevel="1">
      <c r="A48" s="284" t="s">
        <v>328</v>
      </c>
      <c r="B48" s="316"/>
      <c r="C48" s="314">
        <f t="shared" si="18"/>
        <v>0</v>
      </c>
      <c r="D48" s="315">
        <f t="shared" si="4"/>
        <v>0</v>
      </c>
      <c r="E48" s="276">
        <f t="shared" si="19"/>
        <v>0</v>
      </c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90">
        <f t="shared" si="21"/>
        <v>0</v>
      </c>
    </row>
    <row r="49" spans="1:18" hidden="1" outlineLevel="1">
      <c r="A49" s="275" t="s">
        <v>329</v>
      </c>
      <c r="B49" s="316"/>
      <c r="C49" s="314">
        <f t="shared" si="18"/>
        <v>0</v>
      </c>
      <c r="D49" s="315">
        <f t="shared" si="4"/>
        <v>0</v>
      </c>
      <c r="E49" s="276">
        <f t="shared" si="19"/>
        <v>0</v>
      </c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90">
        <f t="shared" si="21"/>
        <v>0</v>
      </c>
    </row>
    <row r="50" spans="1:18" hidden="1" outlineLevel="1">
      <c r="A50" s="284" t="s">
        <v>330</v>
      </c>
      <c r="B50" s="316"/>
      <c r="C50" s="314">
        <f t="shared" si="18"/>
        <v>0</v>
      </c>
      <c r="D50" s="315">
        <f t="shared" si="4"/>
        <v>0</v>
      </c>
      <c r="E50" s="276">
        <f t="shared" si="19"/>
        <v>0</v>
      </c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90">
        <f t="shared" si="21"/>
        <v>0</v>
      </c>
    </row>
    <row r="51" spans="1:18" hidden="1" outlineLevel="1">
      <c r="A51" s="275" t="s">
        <v>331</v>
      </c>
      <c r="B51" s="316"/>
      <c r="C51" s="314">
        <f t="shared" si="18"/>
        <v>0</v>
      </c>
      <c r="D51" s="315">
        <f t="shared" si="4"/>
        <v>0</v>
      </c>
      <c r="E51" s="276">
        <f t="shared" si="19"/>
        <v>0</v>
      </c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90">
        <f t="shared" si="21"/>
        <v>0</v>
      </c>
    </row>
    <row r="52" spans="1:18" hidden="1" outlineLevel="1">
      <c r="A52" s="275" t="s">
        <v>332</v>
      </c>
      <c r="B52" s="316"/>
      <c r="C52" s="314">
        <f t="shared" si="18"/>
        <v>0</v>
      </c>
      <c r="D52" s="315">
        <f t="shared" si="4"/>
        <v>0</v>
      </c>
      <c r="E52" s="276">
        <f t="shared" si="19"/>
        <v>0</v>
      </c>
      <c r="F52" s="316"/>
      <c r="G52" s="316"/>
      <c r="H52" s="316"/>
      <c r="I52" s="316"/>
      <c r="J52" s="316"/>
      <c r="K52" s="316"/>
      <c r="L52" s="316"/>
      <c r="M52" s="316"/>
      <c r="N52" s="316"/>
      <c r="O52" s="316"/>
      <c r="P52" s="316"/>
      <c r="Q52" s="316"/>
      <c r="R52" s="90">
        <f t="shared" si="21"/>
        <v>0</v>
      </c>
    </row>
    <row r="53" spans="1:18" hidden="1" outlineLevel="1">
      <c r="A53" s="275" t="s">
        <v>333</v>
      </c>
      <c r="B53" s="316"/>
      <c r="C53" s="314">
        <f t="shared" si="18"/>
        <v>0</v>
      </c>
      <c r="D53" s="315">
        <f t="shared" si="4"/>
        <v>0</v>
      </c>
      <c r="E53" s="276">
        <f t="shared" si="19"/>
        <v>0</v>
      </c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90">
        <f t="shared" si="21"/>
        <v>0</v>
      </c>
    </row>
    <row r="54" spans="1:18" hidden="1" outlineLevel="1">
      <c r="A54" s="275" t="s">
        <v>334</v>
      </c>
      <c r="B54" s="316"/>
      <c r="C54" s="314">
        <f t="shared" si="18"/>
        <v>0</v>
      </c>
      <c r="D54" s="315">
        <f t="shared" si="4"/>
        <v>0</v>
      </c>
      <c r="E54" s="276">
        <f t="shared" si="19"/>
        <v>0</v>
      </c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90">
        <f t="shared" si="21"/>
        <v>0</v>
      </c>
    </row>
    <row r="55" spans="1:18" hidden="1" outlineLevel="1">
      <c r="A55" s="272" t="s">
        <v>335</v>
      </c>
      <c r="B55" s="276">
        <f>B42+B37</f>
        <v>0</v>
      </c>
      <c r="C55" s="312">
        <f t="shared" si="18"/>
        <v>0</v>
      </c>
      <c r="D55" s="315">
        <f t="shared" si="4"/>
        <v>-458616.06000000017</v>
      </c>
      <c r="E55" s="276">
        <f t="shared" si="19"/>
        <v>-12469948.229999999</v>
      </c>
      <c r="F55" s="276">
        <f t="shared" ref="F55:Q55" si="23">F42+F37</f>
        <v>-1338719.2999999998</v>
      </c>
      <c r="G55" s="276">
        <f t="shared" si="23"/>
        <v>-426132.19</v>
      </c>
      <c r="H55" s="276">
        <f t="shared" si="23"/>
        <v>-1284031.1599999999</v>
      </c>
      <c r="I55" s="276">
        <f t="shared" si="23"/>
        <v>-571761.16</v>
      </c>
      <c r="J55" s="276">
        <f t="shared" si="23"/>
        <v>-378918.29000000004</v>
      </c>
      <c r="K55" s="276">
        <f t="shared" si="23"/>
        <v>-4600863.99</v>
      </c>
      <c r="L55" s="276">
        <f t="shared" si="23"/>
        <v>-496636.25</v>
      </c>
      <c r="M55" s="276">
        <f t="shared" si="23"/>
        <v>-580918.84999999974</v>
      </c>
      <c r="N55" s="276">
        <f t="shared" si="23"/>
        <v>-2153949.8699999992</v>
      </c>
      <c r="O55" s="276">
        <f t="shared" si="23"/>
        <v>-20240.080000000162</v>
      </c>
      <c r="P55" s="276">
        <f t="shared" si="23"/>
        <v>-159161.03</v>
      </c>
      <c r="Q55" s="276">
        <f t="shared" si="23"/>
        <v>-458616.06000000017</v>
      </c>
      <c r="R55" s="90">
        <f t="shared" si="21"/>
        <v>0</v>
      </c>
    </row>
    <row r="56" spans="1:18" hidden="1" outlineLevel="1">
      <c r="A56" s="275" t="s">
        <v>336</v>
      </c>
      <c r="B56" s="286">
        <f>B43+B38</f>
        <v>0</v>
      </c>
      <c r="C56" s="314">
        <f t="shared" si="18"/>
        <v>0</v>
      </c>
      <c r="D56" s="315">
        <f t="shared" si="4"/>
        <v>-458616.06000000017</v>
      </c>
      <c r="E56" s="276">
        <f t="shared" si="19"/>
        <v>-12469948.229999999</v>
      </c>
      <c r="F56" s="286">
        <f t="shared" ref="F56:Q56" si="24">F43+F38</f>
        <v>-1338719.2999999998</v>
      </c>
      <c r="G56" s="286">
        <f t="shared" si="24"/>
        <v>-426132.19</v>
      </c>
      <c r="H56" s="286">
        <f t="shared" si="24"/>
        <v>-1284031.1599999999</v>
      </c>
      <c r="I56" s="286">
        <f t="shared" si="24"/>
        <v>-571761.16</v>
      </c>
      <c r="J56" s="286">
        <f t="shared" si="24"/>
        <v>-378918.29000000004</v>
      </c>
      <c r="K56" s="286">
        <f t="shared" si="24"/>
        <v>-4600863.99</v>
      </c>
      <c r="L56" s="286">
        <f t="shared" si="24"/>
        <v>-496636.25</v>
      </c>
      <c r="M56" s="286">
        <f t="shared" si="24"/>
        <v>-580918.84999999974</v>
      </c>
      <c r="N56" s="286">
        <f t="shared" si="24"/>
        <v>-2153949.8699999992</v>
      </c>
      <c r="O56" s="286">
        <f t="shared" si="24"/>
        <v>-20240.080000000162</v>
      </c>
      <c r="P56" s="286">
        <f t="shared" si="24"/>
        <v>-159161.03</v>
      </c>
      <c r="Q56" s="286">
        <f t="shared" si="24"/>
        <v>-458616.06000000017</v>
      </c>
      <c r="R56" s="90">
        <f t="shared" si="21"/>
        <v>0</v>
      </c>
    </row>
    <row r="57" spans="1:18" hidden="1" outlineLevel="1">
      <c r="A57" s="275" t="s">
        <v>337</v>
      </c>
      <c r="B57" s="286">
        <f>B39+B54</f>
        <v>0</v>
      </c>
      <c r="C57" s="314">
        <f t="shared" si="18"/>
        <v>0</v>
      </c>
      <c r="D57" s="315">
        <f t="shared" si="4"/>
        <v>0</v>
      </c>
      <c r="E57" s="276">
        <f t="shared" si="19"/>
        <v>0</v>
      </c>
      <c r="F57" s="286">
        <f t="shared" ref="F57:Q57" si="25">F39+F54</f>
        <v>0</v>
      </c>
      <c r="G57" s="286">
        <f t="shared" si="25"/>
        <v>0</v>
      </c>
      <c r="H57" s="286">
        <f t="shared" si="25"/>
        <v>0</v>
      </c>
      <c r="I57" s="286">
        <f t="shared" si="25"/>
        <v>0</v>
      </c>
      <c r="J57" s="286">
        <f t="shared" si="25"/>
        <v>0</v>
      </c>
      <c r="K57" s="286">
        <f t="shared" si="25"/>
        <v>0</v>
      </c>
      <c r="L57" s="286">
        <f t="shared" si="25"/>
        <v>0</v>
      </c>
      <c r="M57" s="286">
        <f t="shared" si="25"/>
        <v>0</v>
      </c>
      <c r="N57" s="286">
        <f t="shared" si="25"/>
        <v>0</v>
      </c>
      <c r="O57" s="286">
        <f t="shared" si="25"/>
        <v>0</v>
      </c>
      <c r="P57" s="286">
        <f t="shared" si="25"/>
        <v>0</v>
      </c>
      <c r="Q57" s="286">
        <f t="shared" si="25"/>
        <v>0</v>
      </c>
      <c r="R57" s="90">
        <f t="shared" si="21"/>
        <v>0</v>
      </c>
    </row>
    <row r="58" spans="1:18" hidden="1" outlineLevel="1">
      <c r="A58" s="272" t="s">
        <v>338</v>
      </c>
      <c r="B58" s="316"/>
      <c r="C58" s="286"/>
      <c r="D58" s="315">
        <f t="shared" si="4"/>
        <v>0</v>
      </c>
      <c r="E58" s="28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90">
        <f t="shared" si="21"/>
        <v>0</v>
      </c>
    </row>
    <row r="59" spans="1:18" hidden="1" outlineLevel="1">
      <c r="A59" s="275" t="s">
        <v>339</v>
      </c>
      <c r="B59" s="316"/>
      <c r="C59" s="286"/>
      <c r="D59" s="315">
        <f t="shared" si="4"/>
        <v>0</v>
      </c>
      <c r="E59" s="286"/>
      <c r="F59" s="316"/>
      <c r="G59" s="316"/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90">
        <f t="shared" si="21"/>
        <v>0</v>
      </c>
    </row>
    <row r="60" spans="1:18" hidden="1" outlineLevel="1">
      <c r="A60" s="275" t="s">
        <v>340</v>
      </c>
      <c r="B60" s="316"/>
      <c r="C60" s="286"/>
      <c r="D60" s="315">
        <f t="shared" si="4"/>
        <v>0</v>
      </c>
      <c r="E60" s="28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90">
        <f t="shared" si="21"/>
        <v>0</v>
      </c>
    </row>
    <row r="61" spans="1:18" collapsed="1">
      <c r="A61" s="317"/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</row>
    <row r="62" spans="1:18" s="309" customFormat="1" ht="12">
      <c r="A62" s="318" t="s">
        <v>341</v>
      </c>
      <c r="B62" s="319" t="s">
        <v>342</v>
      </c>
      <c r="C62" s="319" t="s">
        <v>343</v>
      </c>
      <c r="D62" s="320" t="s">
        <v>271</v>
      </c>
      <c r="E62" s="321" t="s">
        <v>272</v>
      </c>
      <c r="F62" s="69" t="s">
        <v>344</v>
      </c>
      <c r="G62" s="69" t="s">
        <v>345</v>
      </c>
      <c r="H62" s="69" t="s">
        <v>346</v>
      </c>
      <c r="I62" s="69" t="s">
        <v>347</v>
      </c>
      <c r="J62" s="69" t="s">
        <v>348</v>
      </c>
      <c r="K62" s="69" t="s">
        <v>349</v>
      </c>
      <c r="L62" s="69" t="s">
        <v>350</v>
      </c>
      <c r="M62" s="69" t="s">
        <v>351</v>
      </c>
      <c r="N62" s="69" t="s">
        <v>352</v>
      </c>
      <c r="O62" s="69" t="s">
        <v>353</v>
      </c>
      <c r="P62" s="69" t="s">
        <v>354</v>
      </c>
      <c r="Q62" s="69" t="s">
        <v>355</v>
      </c>
    </row>
    <row r="63" spans="1:18" s="309" customFormat="1" ht="12">
      <c r="A63" s="322" t="s">
        <v>356</v>
      </c>
      <c r="B63" s="323">
        <f>ROUND(B6-B7,2)</f>
        <v>0</v>
      </c>
      <c r="C63" s="322"/>
      <c r="D63" s="323">
        <f t="shared" ref="D63" si="26">ROUND(D6-D7,2)</f>
        <v>0</v>
      </c>
      <c r="E63" s="323">
        <f t="shared" ref="E63:Q63" si="27">ROUND(E6-E7,2)</f>
        <v>0</v>
      </c>
      <c r="F63" s="323">
        <f t="shared" si="27"/>
        <v>0</v>
      </c>
      <c r="G63" s="323">
        <f t="shared" si="27"/>
        <v>0</v>
      </c>
      <c r="H63" s="323">
        <f t="shared" si="27"/>
        <v>0</v>
      </c>
      <c r="I63" s="323">
        <f t="shared" si="27"/>
        <v>0</v>
      </c>
      <c r="J63" s="323">
        <f t="shared" si="27"/>
        <v>0</v>
      </c>
      <c r="K63" s="323">
        <f t="shared" si="27"/>
        <v>0</v>
      </c>
      <c r="L63" s="323">
        <f t="shared" si="27"/>
        <v>0</v>
      </c>
      <c r="M63" s="323">
        <f t="shared" si="27"/>
        <v>0</v>
      </c>
      <c r="N63" s="323">
        <f t="shared" si="27"/>
        <v>0</v>
      </c>
      <c r="O63" s="323">
        <f t="shared" si="27"/>
        <v>0</v>
      </c>
      <c r="P63" s="323">
        <f t="shared" si="27"/>
        <v>0</v>
      </c>
      <c r="Q63" s="323">
        <f t="shared" si="27"/>
        <v>0</v>
      </c>
    </row>
    <row r="64" spans="1:18" s="309" customFormat="1" ht="12">
      <c r="A64" s="322" t="s">
        <v>357</v>
      </c>
      <c r="B64" s="324">
        <f>IF(B7&gt;=(B8+B9+B10+B11+B12),0,1)</f>
        <v>0</v>
      </c>
      <c r="C64" s="322"/>
      <c r="D64" s="324">
        <f t="shared" ref="D64:Q64" si="28">IF(D7&gt;=(D8+D9+D10+D11+D12),0,1)</f>
        <v>0</v>
      </c>
      <c r="E64" s="324">
        <f t="shared" si="28"/>
        <v>0</v>
      </c>
      <c r="F64" s="324">
        <f t="shared" si="28"/>
        <v>0</v>
      </c>
      <c r="G64" s="324">
        <f t="shared" si="28"/>
        <v>0</v>
      </c>
      <c r="H64" s="324">
        <f t="shared" si="28"/>
        <v>0</v>
      </c>
      <c r="I64" s="324">
        <f t="shared" si="28"/>
        <v>0</v>
      </c>
      <c r="J64" s="324">
        <f t="shared" si="28"/>
        <v>0</v>
      </c>
      <c r="K64" s="324">
        <f t="shared" si="28"/>
        <v>0</v>
      </c>
      <c r="L64" s="324">
        <f t="shared" si="28"/>
        <v>0</v>
      </c>
      <c r="M64" s="324">
        <f t="shared" si="28"/>
        <v>0</v>
      </c>
      <c r="N64" s="324">
        <f t="shared" si="28"/>
        <v>0</v>
      </c>
      <c r="O64" s="324">
        <f t="shared" si="28"/>
        <v>0</v>
      </c>
      <c r="P64" s="324">
        <f t="shared" si="28"/>
        <v>0</v>
      </c>
      <c r="Q64" s="324">
        <f t="shared" si="28"/>
        <v>0</v>
      </c>
    </row>
    <row r="65" spans="1:17" s="309" customFormat="1" ht="12">
      <c r="A65" s="322" t="s">
        <v>358</v>
      </c>
      <c r="B65" s="323">
        <f>ROUND(B13-B14-B20-B21-B22-B23,2)</f>
        <v>0</v>
      </c>
      <c r="C65" s="322"/>
      <c r="D65" s="323">
        <f t="shared" ref="D65" si="29">ROUND(D13-D14-D20-D21-D22-D23,2)</f>
        <v>0</v>
      </c>
      <c r="E65" s="323">
        <f t="shared" ref="E65:Q65" si="30">ROUND(E13-E14-E20-E21-E22-E23,2)</f>
        <v>0</v>
      </c>
      <c r="F65" s="323">
        <f t="shared" si="30"/>
        <v>0</v>
      </c>
      <c r="G65" s="323">
        <f t="shared" si="30"/>
        <v>0</v>
      </c>
      <c r="H65" s="323">
        <f t="shared" si="30"/>
        <v>0</v>
      </c>
      <c r="I65" s="323">
        <f t="shared" si="30"/>
        <v>0</v>
      </c>
      <c r="J65" s="323">
        <f t="shared" si="30"/>
        <v>0</v>
      </c>
      <c r="K65" s="323">
        <f t="shared" si="30"/>
        <v>0</v>
      </c>
      <c r="L65" s="323">
        <f t="shared" si="30"/>
        <v>0</v>
      </c>
      <c r="M65" s="323">
        <f t="shared" si="30"/>
        <v>0</v>
      </c>
      <c r="N65" s="323">
        <f t="shared" si="30"/>
        <v>0</v>
      </c>
      <c r="O65" s="323">
        <f t="shared" si="30"/>
        <v>0</v>
      </c>
      <c r="P65" s="323">
        <f t="shared" si="30"/>
        <v>0</v>
      </c>
      <c r="Q65" s="323">
        <f t="shared" si="30"/>
        <v>0</v>
      </c>
    </row>
    <row r="66" spans="1:17" s="309" customFormat="1" ht="12">
      <c r="A66" s="322" t="s">
        <v>359</v>
      </c>
      <c r="B66" s="324">
        <f>IF(B14&gt;=(B15+B16+B17+B18+B19),0,1)</f>
        <v>0</v>
      </c>
      <c r="C66" s="322"/>
      <c r="D66" s="324">
        <f t="shared" ref="D66:Q66" si="31">IF(D14&gt;=(D15+D16+D17+D18+D19),0,1)</f>
        <v>0</v>
      </c>
      <c r="E66" s="324">
        <f t="shared" si="31"/>
        <v>0</v>
      </c>
      <c r="F66" s="324">
        <f t="shared" si="31"/>
        <v>0</v>
      </c>
      <c r="G66" s="324">
        <f t="shared" si="31"/>
        <v>0</v>
      </c>
      <c r="H66" s="324">
        <f t="shared" si="31"/>
        <v>0</v>
      </c>
      <c r="I66" s="324">
        <f t="shared" si="31"/>
        <v>0</v>
      </c>
      <c r="J66" s="324">
        <f t="shared" si="31"/>
        <v>0</v>
      </c>
      <c r="K66" s="324">
        <f t="shared" si="31"/>
        <v>0</v>
      </c>
      <c r="L66" s="324">
        <f t="shared" si="31"/>
        <v>0</v>
      </c>
      <c r="M66" s="324">
        <f t="shared" si="31"/>
        <v>0</v>
      </c>
      <c r="N66" s="324">
        <f t="shared" si="31"/>
        <v>0</v>
      </c>
      <c r="O66" s="324">
        <f t="shared" si="31"/>
        <v>0</v>
      </c>
      <c r="P66" s="324">
        <f t="shared" si="31"/>
        <v>0</v>
      </c>
      <c r="Q66" s="324">
        <f t="shared" si="31"/>
        <v>0</v>
      </c>
    </row>
    <row r="67" spans="1:17" s="309" customFormat="1" ht="24">
      <c r="A67" s="322" t="s">
        <v>360</v>
      </c>
      <c r="B67" s="323">
        <f>ROUND(B32-(B6-B13-B26+B27+B28+B30+B31),2)</f>
        <v>0</v>
      </c>
      <c r="C67" s="322"/>
      <c r="D67" s="323">
        <f t="shared" ref="D67" si="32">ROUND(D32-(D6-D13-D26+D27+D28+D30+D31),2)</f>
        <v>0</v>
      </c>
      <c r="E67" s="323">
        <f t="shared" ref="E67:Q67" si="33">ROUND(E32-(E6-E13-E26+E27+E28+E30+E31),2)</f>
        <v>0</v>
      </c>
      <c r="F67" s="323">
        <f t="shared" si="33"/>
        <v>0</v>
      </c>
      <c r="G67" s="323">
        <f t="shared" si="33"/>
        <v>0</v>
      </c>
      <c r="H67" s="323">
        <f t="shared" si="33"/>
        <v>0</v>
      </c>
      <c r="I67" s="323">
        <f t="shared" si="33"/>
        <v>0</v>
      </c>
      <c r="J67" s="323">
        <f t="shared" si="33"/>
        <v>0</v>
      </c>
      <c r="K67" s="323">
        <f t="shared" si="33"/>
        <v>0</v>
      </c>
      <c r="L67" s="323">
        <f t="shared" si="33"/>
        <v>0</v>
      </c>
      <c r="M67" s="323">
        <f t="shared" si="33"/>
        <v>0</v>
      </c>
      <c r="N67" s="323">
        <f t="shared" si="33"/>
        <v>0</v>
      </c>
      <c r="O67" s="323">
        <f t="shared" si="33"/>
        <v>0</v>
      </c>
      <c r="P67" s="323">
        <f t="shared" si="33"/>
        <v>0</v>
      </c>
      <c r="Q67" s="323">
        <f t="shared" si="33"/>
        <v>0</v>
      </c>
    </row>
    <row r="68" spans="1:17" s="309" customFormat="1" ht="12">
      <c r="A68" s="322" t="s">
        <v>361</v>
      </c>
      <c r="B68" s="323">
        <f>ROUND(B35-(B32+B33-B34),2)</f>
        <v>0</v>
      </c>
      <c r="C68" s="322"/>
      <c r="D68" s="323">
        <f t="shared" ref="D68" si="34">ROUND(D35-(D32+D33-D34),2)</f>
        <v>0</v>
      </c>
      <c r="E68" s="323">
        <f t="shared" ref="E68:Q68" si="35">ROUND(E35-(E32+E33-E34),2)</f>
        <v>0</v>
      </c>
      <c r="F68" s="323">
        <f t="shared" si="35"/>
        <v>0</v>
      </c>
      <c r="G68" s="323">
        <f t="shared" si="35"/>
        <v>0</v>
      </c>
      <c r="H68" s="323">
        <f t="shared" si="35"/>
        <v>0</v>
      </c>
      <c r="I68" s="323">
        <f t="shared" si="35"/>
        <v>0</v>
      </c>
      <c r="J68" s="323">
        <f t="shared" si="35"/>
        <v>0</v>
      </c>
      <c r="K68" s="323">
        <f t="shared" si="35"/>
        <v>0</v>
      </c>
      <c r="L68" s="323">
        <f t="shared" si="35"/>
        <v>0</v>
      </c>
      <c r="M68" s="323">
        <f t="shared" si="35"/>
        <v>0</v>
      </c>
      <c r="N68" s="323">
        <f t="shared" si="35"/>
        <v>0</v>
      </c>
      <c r="O68" s="323">
        <f t="shared" si="35"/>
        <v>0</v>
      </c>
      <c r="P68" s="323">
        <f t="shared" si="35"/>
        <v>0</v>
      </c>
      <c r="Q68" s="323">
        <f t="shared" si="35"/>
        <v>0</v>
      </c>
    </row>
    <row r="69" spans="1:17" s="309" customFormat="1" ht="12">
      <c r="A69" s="322" t="s">
        <v>362</v>
      </c>
      <c r="B69" s="323">
        <f t="shared" ref="B69:E69" si="36">ROUND(B37-(B35-B36),2)</f>
        <v>0</v>
      </c>
      <c r="C69" s="322"/>
      <c r="D69" s="323">
        <f t="shared" ref="D69" si="37">ROUND(D37-(D35-D36),2)</f>
        <v>0</v>
      </c>
      <c r="E69" s="323">
        <f t="shared" si="36"/>
        <v>0</v>
      </c>
      <c r="F69" s="323">
        <f t="shared" ref="F69:Q69" si="38">ROUND(F37-(F35-F36),2)</f>
        <v>0</v>
      </c>
      <c r="G69" s="323">
        <f t="shared" si="38"/>
        <v>0</v>
      </c>
      <c r="H69" s="323">
        <f t="shared" si="38"/>
        <v>0</v>
      </c>
      <c r="I69" s="323">
        <f t="shared" si="38"/>
        <v>0</v>
      </c>
      <c r="J69" s="323">
        <f t="shared" si="38"/>
        <v>0</v>
      </c>
      <c r="K69" s="323">
        <f t="shared" si="38"/>
        <v>0</v>
      </c>
      <c r="L69" s="323">
        <f t="shared" si="38"/>
        <v>0</v>
      </c>
      <c r="M69" s="323">
        <f t="shared" si="38"/>
        <v>0</v>
      </c>
      <c r="N69" s="323">
        <f t="shared" si="38"/>
        <v>0</v>
      </c>
      <c r="O69" s="323">
        <f t="shared" si="38"/>
        <v>0</v>
      </c>
      <c r="P69" s="323">
        <f t="shared" si="38"/>
        <v>0</v>
      </c>
      <c r="Q69" s="323">
        <f t="shared" si="38"/>
        <v>0</v>
      </c>
    </row>
    <row r="70" spans="1:17" s="309" customFormat="1" ht="12">
      <c r="A70" s="322" t="s">
        <v>363</v>
      </c>
      <c r="B70" s="323">
        <f t="shared" ref="B70:E70" si="39">ROUND(B37-B38-B39,2)</f>
        <v>0</v>
      </c>
      <c r="C70" s="322"/>
      <c r="D70" s="323">
        <f t="shared" ref="D70" si="40">ROUND(D37-D38-D39,2)</f>
        <v>0</v>
      </c>
      <c r="E70" s="323">
        <f t="shared" si="39"/>
        <v>0</v>
      </c>
      <c r="F70" s="323">
        <f t="shared" ref="F70:Q70" si="41">ROUND(F37-F38-F39,2)</f>
        <v>0</v>
      </c>
      <c r="G70" s="323">
        <f t="shared" si="41"/>
        <v>0</v>
      </c>
      <c r="H70" s="323">
        <f t="shared" si="41"/>
        <v>0</v>
      </c>
      <c r="I70" s="323">
        <f t="shared" si="41"/>
        <v>0</v>
      </c>
      <c r="J70" s="323">
        <f t="shared" si="41"/>
        <v>0</v>
      </c>
      <c r="K70" s="323">
        <f t="shared" si="41"/>
        <v>0</v>
      </c>
      <c r="L70" s="323">
        <f t="shared" si="41"/>
        <v>0</v>
      </c>
      <c r="M70" s="323">
        <f t="shared" si="41"/>
        <v>0</v>
      </c>
      <c r="N70" s="323">
        <f t="shared" si="41"/>
        <v>0</v>
      </c>
      <c r="O70" s="323">
        <f t="shared" si="41"/>
        <v>0</v>
      </c>
      <c r="P70" s="323">
        <f t="shared" si="41"/>
        <v>0</v>
      </c>
      <c r="Q70" s="323">
        <f t="shared" si="41"/>
        <v>0</v>
      </c>
    </row>
    <row r="71" spans="1:17" s="309" customFormat="1" ht="12">
      <c r="A71" s="322" t="s">
        <v>364</v>
      </c>
      <c r="B71" s="323">
        <f t="shared" ref="B71:E71" si="42">ROUND(B37-B40-B41,2)</f>
        <v>0</v>
      </c>
      <c r="C71" s="322"/>
      <c r="D71" s="323">
        <f t="shared" ref="D71" si="43">ROUND(D37-D40-D41,2)</f>
        <v>0</v>
      </c>
      <c r="E71" s="323">
        <f t="shared" si="42"/>
        <v>0</v>
      </c>
      <c r="F71" s="323">
        <f t="shared" ref="F71:Q71" si="44">ROUND(F37-F40-F41,2)</f>
        <v>0</v>
      </c>
      <c r="G71" s="323">
        <f t="shared" si="44"/>
        <v>0</v>
      </c>
      <c r="H71" s="323">
        <f t="shared" si="44"/>
        <v>0</v>
      </c>
      <c r="I71" s="323">
        <f t="shared" si="44"/>
        <v>0</v>
      </c>
      <c r="J71" s="323">
        <f t="shared" si="44"/>
        <v>0</v>
      </c>
      <c r="K71" s="323">
        <f t="shared" si="44"/>
        <v>0</v>
      </c>
      <c r="L71" s="323">
        <f t="shared" si="44"/>
        <v>0</v>
      </c>
      <c r="M71" s="323">
        <f t="shared" si="44"/>
        <v>0</v>
      </c>
      <c r="N71" s="323">
        <f t="shared" si="44"/>
        <v>0</v>
      </c>
      <c r="O71" s="323">
        <f t="shared" si="44"/>
        <v>0</v>
      </c>
      <c r="P71" s="323">
        <f t="shared" si="44"/>
        <v>0</v>
      </c>
      <c r="Q71" s="323">
        <f t="shared" si="44"/>
        <v>0</v>
      </c>
    </row>
    <row r="72" spans="1:17" s="309" customFormat="1" ht="23.25">
      <c r="A72" s="322" t="s">
        <v>365</v>
      </c>
      <c r="B72" s="323">
        <f t="shared" ref="B72:E72" si="45">ROUND(B42-B43-B54,2)</f>
        <v>0</v>
      </c>
      <c r="C72" s="322"/>
      <c r="D72" s="323">
        <f t="shared" ref="D72" si="46">ROUND(D42-D43-D54,2)</f>
        <v>0</v>
      </c>
      <c r="E72" s="323">
        <f t="shared" si="45"/>
        <v>0</v>
      </c>
      <c r="F72" s="323">
        <f t="shared" ref="F72:Q72" si="47">ROUND(F42-F43-F54,2)</f>
        <v>0</v>
      </c>
      <c r="G72" s="323">
        <f t="shared" si="47"/>
        <v>0</v>
      </c>
      <c r="H72" s="323">
        <f t="shared" si="47"/>
        <v>0</v>
      </c>
      <c r="I72" s="323">
        <f t="shared" si="47"/>
        <v>0</v>
      </c>
      <c r="J72" s="323">
        <f t="shared" si="47"/>
        <v>0</v>
      </c>
      <c r="K72" s="323">
        <f t="shared" si="47"/>
        <v>0</v>
      </c>
      <c r="L72" s="323">
        <f t="shared" si="47"/>
        <v>0</v>
      </c>
      <c r="M72" s="323">
        <f t="shared" si="47"/>
        <v>0</v>
      </c>
      <c r="N72" s="323">
        <f t="shared" si="47"/>
        <v>0</v>
      </c>
      <c r="O72" s="323">
        <f t="shared" si="47"/>
        <v>0</v>
      </c>
      <c r="P72" s="323">
        <f t="shared" si="47"/>
        <v>0</v>
      </c>
      <c r="Q72" s="323">
        <f t="shared" si="47"/>
        <v>0</v>
      </c>
    </row>
    <row r="73" spans="1:17" s="309" customFormat="1" ht="12">
      <c r="A73" s="322" t="s">
        <v>366</v>
      </c>
      <c r="B73" s="323">
        <f t="shared" ref="B73:E73" si="48">ROUND(B44-B45-B46,2)</f>
        <v>0</v>
      </c>
      <c r="C73" s="322"/>
      <c r="D73" s="323">
        <f t="shared" ref="D73" si="49">ROUND(D44-D45-D46,2)</f>
        <v>0</v>
      </c>
      <c r="E73" s="323">
        <f t="shared" si="48"/>
        <v>0</v>
      </c>
      <c r="F73" s="323">
        <f t="shared" ref="F73:Q73" si="50">ROUND(F44-F45-F46,2)</f>
        <v>0</v>
      </c>
      <c r="G73" s="323">
        <f t="shared" si="50"/>
        <v>0</v>
      </c>
      <c r="H73" s="323">
        <f t="shared" si="50"/>
        <v>0</v>
      </c>
      <c r="I73" s="323">
        <f t="shared" si="50"/>
        <v>0</v>
      </c>
      <c r="J73" s="323">
        <f t="shared" si="50"/>
        <v>0</v>
      </c>
      <c r="K73" s="323">
        <f t="shared" si="50"/>
        <v>0</v>
      </c>
      <c r="L73" s="323">
        <f t="shared" si="50"/>
        <v>0</v>
      </c>
      <c r="M73" s="323">
        <f t="shared" si="50"/>
        <v>0</v>
      </c>
      <c r="N73" s="323">
        <f t="shared" si="50"/>
        <v>0</v>
      </c>
      <c r="O73" s="323">
        <f t="shared" si="50"/>
        <v>0</v>
      </c>
      <c r="P73" s="323">
        <f t="shared" si="50"/>
        <v>0</v>
      </c>
      <c r="Q73" s="323">
        <f t="shared" si="50"/>
        <v>0</v>
      </c>
    </row>
    <row r="74" spans="1:17" s="309" customFormat="1" ht="12">
      <c r="A74" s="322" t="s">
        <v>367</v>
      </c>
      <c r="B74" s="323">
        <f t="shared" ref="B74:E74" si="51">ROUND(B47-SUM(B48:B53),2)</f>
        <v>0</v>
      </c>
      <c r="C74" s="322"/>
      <c r="D74" s="323">
        <f t="shared" ref="D74" si="52">ROUND(D47-SUM(D48:D53),2)</f>
        <v>0</v>
      </c>
      <c r="E74" s="323">
        <f t="shared" si="51"/>
        <v>0</v>
      </c>
      <c r="F74" s="323">
        <f t="shared" ref="F74:Q74" si="53">ROUND(F47-SUM(F48:F53),2)</f>
        <v>0</v>
      </c>
      <c r="G74" s="323">
        <f t="shared" si="53"/>
        <v>0</v>
      </c>
      <c r="H74" s="323">
        <f t="shared" si="53"/>
        <v>0</v>
      </c>
      <c r="I74" s="323">
        <f t="shared" si="53"/>
        <v>0</v>
      </c>
      <c r="J74" s="323">
        <f t="shared" si="53"/>
        <v>0</v>
      </c>
      <c r="K74" s="323">
        <f t="shared" si="53"/>
        <v>0</v>
      </c>
      <c r="L74" s="323">
        <f t="shared" si="53"/>
        <v>0</v>
      </c>
      <c r="M74" s="323">
        <f t="shared" si="53"/>
        <v>0</v>
      </c>
      <c r="N74" s="323">
        <f t="shared" si="53"/>
        <v>0</v>
      </c>
      <c r="O74" s="323">
        <f t="shared" si="53"/>
        <v>0</v>
      </c>
      <c r="P74" s="323">
        <f t="shared" si="53"/>
        <v>0</v>
      </c>
      <c r="Q74" s="323">
        <f t="shared" si="53"/>
        <v>0</v>
      </c>
    </row>
    <row r="75" spans="1:17" s="309" customFormat="1" ht="23.25">
      <c r="A75" s="322" t="s">
        <v>368</v>
      </c>
      <c r="B75" s="323">
        <f t="shared" ref="B75:E75" si="54">ROUND(B55-B56-B57,2)</f>
        <v>0</v>
      </c>
      <c r="C75" s="322"/>
      <c r="D75" s="323">
        <f t="shared" ref="D75" si="55">ROUND(D55-D56-D57,2)</f>
        <v>0</v>
      </c>
      <c r="E75" s="323">
        <f t="shared" si="54"/>
        <v>0</v>
      </c>
      <c r="F75" s="323">
        <f t="shared" ref="F75:Q75" si="56">ROUND(F55-F56-F57,2)</f>
        <v>0</v>
      </c>
      <c r="G75" s="323">
        <f t="shared" si="56"/>
        <v>0</v>
      </c>
      <c r="H75" s="323">
        <f t="shared" si="56"/>
        <v>0</v>
      </c>
      <c r="I75" s="323">
        <f t="shared" si="56"/>
        <v>0</v>
      </c>
      <c r="J75" s="323">
        <f t="shared" si="56"/>
        <v>0</v>
      </c>
      <c r="K75" s="323">
        <f t="shared" si="56"/>
        <v>0</v>
      </c>
      <c r="L75" s="323">
        <f t="shared" si="56"/>
        <v>0</v>
      </c>
      <c r="M75" s="323">
        <f t="shared" si="56"/>
        <v>0</v>
      </c>
      <c r="N75" s="323">
        <f t="shared" si="56"/>
        <v>0</v>
      </c>
      <c r="O75" s="323">
        <f t="shared" si="56"/>
        <v>0</v>
      </c>
      <c r="P75" s="323">
        <f t="shared" si="56"/>
        <v>0</v>
      </c>
      <c r="Q75" s="323">
        <f t="shared" si="56"/>
        <v>0</v>
      </c>
    </row>
    <row r="76" spans="1:17" s="309" customFormat="1" ht="12">
      <c r="A76" s="325" t="s">
        <v>369</v>
      </c>
      <c r="B76" s="323">
        <f t="shared" ref="B76:E76" si="57">ROUND(B55-B42-B37,2)</f>
        <v>0</v>
      </c>
      <c r="C76" s="325"/>
      <c r="D76" s="323">
        <f t="shared" ref="D76" si="58">ROUND(D55-D42-D37,2)</f>
        <v>0</v>
      </c>
      <c r="E76" s="323">
        <f t="shared" si="57"/>
        <v>0</v>
      </c>
      <c r="F76" s="323">
        <f t="shared" ref="F76:Q76" si="59">ROUND(F55-F42-F37,2)</f>
        <v>0</v>
      </c>
      <c r="G76" s="323">
        <f t="shared" si="59"/>
        <v>0</v>
      </c>
      <c r="H76" s="323">
        <f t="shared" si="59"/>
        <v>0</v>
      </c>
      <c r="I76" s="323">
        <f t="shared" si="59"/>
        <v>0</v>
      </c>
      <c r="J76" s="323">
        <f t="shared" si="59"/>
        <v>0</v>
      </c>
      <c r="K76" s="323">
        <f t="shared" si="59"/>
        <v>0</v>
      </c>
      <c r="L76" s="323">
        <f t="shared" si="59"/>
        <v>0</v>
      </c>
      <c r="M76" s="323">
        <f t="shared" si="59"/>
        <v>0</v>
      </c>
      <c r="N76" s="323">
        <f t="shared" si="59"/>
        <v>0</v>
      </c>
      <c r="O76" s="323">
        <f t="shared" si="59"/>
        <v>0</v>
      </c>
      <c r="P76" s="323">
        <f t="shared" si="59"/>
        <v>0</v>
      </c>
      <c r="Q76" s="323">
        <f t="shared" si="59"/>
        <v>0</v>
      </c>
    </row>
    <row r="77" spans="1:17" s="309" customFormat="1" ht="12">
      <c r="A77" s="326"/>
      <c r="B77" s="326"/>
      <c r="C77" s="326"/>
      <c r="D77" s="326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326"/>
      <c r="Q77" s="326"/>
    </row>
    <row r="78" spans="1:17" s="309" customFormat="1" ht="12"/>
  </sheetData>
  <sheetProtection password="F79E" sheet="1" objects="1" scenarios="1"/>
  <mergeCells count="1">
    <mergeCell ref="A1:Q1"/>
  </mergeCells>
  <phoneticPr fontId="83" type="noConversion"/>
  <hyperlinks>
    <hyperlink ref="A1:Q1" location="目录!A1" display="会计利润表"/>
  </hyperlinks>
  <pageMargins left="0.70763888888888904" right="0.70763888888888904" top="0.74791666666666701" bottom="0.74791666666666701" header="0.31388888888888899" footer="0.31388888888888899"/>
  <pageSetup paperSize="9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S118"/>
  <sheetViews>
    <sheetView view="pageBreakPreview" zoomScaleNormal="100" zoomScaleSheetLayoutView="100" workbookViewId="0">
      <pane xSplit="5" ySplit="5" topLeftCell="F6" activePane="bottomRight" state="frozen"/>
      <selection pane="topRight"/>
      <selection pane="bottomLeft"/>
      <selection pane="bottomRight" activeCell="H106" sqref="H106"/>
    </sheetView>
  </sheetViews>
  <sheetFormatPr defaultColWidth="9" defaultRowHeight="14.25" outlineLevelRow="1"/>
  <cols>
    <col min="1" max="1" width="34.125" customWidth="1"/>
    <col min="2" max="3" width="9.625" customWidth="1"/>
    <col min="4" max="4" width="9.625" hidden="1" customWidth="1"/>
    <col min="5" max="5" width="13" style="54" customWidth="1"/>
    <col min="6" max="17" width="9.375" customWidth="1"/>
  </cols>
  <sheetData>
    <row r="1" spans="1:19" ht="20.25">
      <c r="A1" s="388" t="s">
        <v>370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64"/>
    </row>
    <row r="2" spans="1:19">
      <c r="A2" s="65" t="str">
        <f>"编制单位："&amp;编制说明及审核公式!$C$2</f>
        <v>编制单位：上海丰泰置业有限公司</v>
      </c>
      <c r="B2" s="65"/>
      <c r="C2" s="65"/>
      <c r="D2" s="65"/>
      <c r="E2" s="268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</row>
    <row r="3" spans="1:19">
      <c r="A3" s="65" t="str">
        <f>"日期："&amp;编制说明及审核公式!$C$3</f>
        <v>日期：2020年12月</v>
      </c>
      <c r="B3" s="65"/>
      <c r="C3" s="65"/>
      <c r="D3" s="65"/>
      <c r="E3" s="268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9">
      <c r="A4" s="65" t="s">
        <v>175</v>
      </c>
      <c r="B4" s="65"/>
      <c r="C4" s="65"/>
      <c r="D4" s="65"/>
      <c r="E4" s="268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9">
      <c r="A5" s="269" t="s">
        <v>176</v>
      </c>
      <c r="B5" s="270" t="s">
        <v>371</v>
      </c>
      <c r="C5" s="270" t="s">
        <v>372</v>
      </c>
      <c r="D5" s="270" t="s">
        <v>271</v>
      </c>
      <c r="E5" s="271" t="s">
        <v>272</v>
      </c>
      <c r="F5" s="69" t="s">
        <v>344</v>
      </c>
      <c r="G5" s="69" t="s">
        <v>345</v>
      </c>
      <c r="H5" s="69" t="s">
        <v>346</v>
      </c>
      <c r="I5" s="69" t="s">
        <v>347</v>
      </c>
      <c r="J5" s="69" t="s">
        <v>348</v>
      </c>
      <c r="K5" s="69" t="s">
        <v>349</v>
      </c>
      <c r="L5" s="69" t="s">
        <v>350</v>
      </c>
      <c r="M5" s="69" t="s">
        <v>351</v>
      </c>
      <c r="N5" s="69" t="s">
        <v>352</v>
      </c>
      <c r="O5" s="69" t="s">
        <v>353</v>
      </c>
      <c r="P5" s="69" t="s">
        <v>354</v>
      </c>
      <c r="Q5" s="69" t="s">
        <v>355</v>
      </c>
      <c r="R5" s="88" t="s">
        <v>285</v>
      </c>
      <c r="S5" s="297"/>
    </row>
    <row r="6" spans="1:19">
      <c r="A6" s="272" t="s">
        <v>373</v>
      </c>
      <c r="B6" s="273"/>
      <c r="C6" s="274">
        <f>IFERROR(E6/B6,0)</f>
        <v>0</v>
      </c>
      <c r="D6" s="274" t="str">
        <f>INDEX(F6:Q6,MATCH(--MID($A$3,9,2)&amp;"月",$F$5:$Q$5,))</f>
        <v>——</v>
      </c>
      <c r="E6" s="274" t="s">
        <v>180</v>
      </c>
      <c r="F6" s="273" t="s">
        <v>180</v>
      </c>
      <c r="G6" s="273" t="s">
        <v>180</v>
      </c>
      <c r="H6" s="273" t="s">
        <v>180</v>
      </c>
      <c r="I6" s="273" t="s">
        <v>180</v>
      </c>
      <c r="J6" s="273" t="s">
        <v>180</v>
      </c>
      <c r="K6" s="273" t="s">
        <v>180</v>
      </c>
      <c r="L6" s="273" t="s">
        <v>180</v>
      </c>
      <c r="M6" s="273" t="s">
        <v>180</v>
      </c>
      <c r="N6" s="273" t="s">
        <v>180</v>
      </c>
      <c r="O6" s="273" t="s">
        <v>180</v>
      </c>
      <c r="P6" s="273" t="s">
        <v>180</v>
      </c>
      <c r="Q6" s="273" t="s">
        <v>180</v>
      </c>
      <c r="R6" s="64"/>
    </row>
    <row r="7" spans="1:19">
      <c r="A7" s="275" t="s">
        <v>374</v>
      </c>
      <c r="B7" s="276">
        <f>SUM(B8:B12)</f>
        <v>0</v>
      </c>
      <c r="C7" s="276">
        <f t="shared" ref="C7:C60" si="0">IFERROR(E7/B7,0)</f>
        <v>0</v>
      </c>
      <c r="D7" s="276">
        <f t="shared" ref="D7:D60" si="1">INDEX(F7:Q7,MATCH(--MID($A$3,9,2)&amp;"月",$F$5:$Q$5,))</f>
        <v>0</v>
      </c>
      <c r="E7" s="276">
        <f t="shared" ref="E7:E30" si="2">SUM(F7:Q7)</f>
        <v>0</v>
      </c>
      <c r="F7" s="276">
        <f>SUM(F8:F12)</f>
        <v>0</v>
      </c>
      <c r="G7" s="276">
        <f t="shared" ref="G7:Q7" si="3">SUM(G8:G12)</f>
        <v>0</v>
      </c>
      <c r="H7" s="276">
        <f t="shared" si="3"/>
        <v>0</v>
      </c>
      <c r="I7" s="276">
        <f t="shared" si="3"/>
        <v>0</v>
      </c>
      <c r="J7" s="276">
        <f t="shared" si="3"/>
        <v>0</v>
      </c>
      <c r="K7" s="276">
        <f t="shared" si="3"/>
        <v>0</v>
      </c>
      <c r="L7" s="276">
        <f t="shared" si="3"/>
        <v>0</v>
      </c>
      <c r="M7" s="276">
        <f t="shared" si="3"/>
        <v>0</v>
      </c>
      <c r="N7" s="276">
        <f t="shared" si="3"/>
        <v>0</v>
      </c>
      <c r="O7" s="276">
        <f t="shared" si="3"/>
        <v>0</v>
      </c>
      <c r="P7" s="276">
        <f t="shared" si="3"/>
        <v>0</v>
      </c>
      <c r="Q7" s="276">
        <f t="shared" si="3"/>
        <v>0</v>
      </c>
      <c r="R7" s="298">
        <f>ROUND(SUM(F7:Q7)-E7,2)</f>
        <v>0</v>
      </c>
    </row>
    <row r="8" spans="1:19">
      <c r="A8" s="277" t="s">
        <v>375</v>
      </c>
      <c r="B8" s="278"/>
      <c r="C8" s="276">
        <f t="shared" si="0"/>
        <v>0</v>
      </c>
      <c r="D8" s="276">
        <f t="shared" si="1"/>
        <v>0</v>
      </c>
      <c r="E8" s="276">
        <f t="shared" si="2"/>
        <v>0</v>
      </c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98">
        <f t="shared" ref="R8:R58" si="4">ROUND(SUM(F8:Q8)-E8,2)</f>
        <v>0</v>
      </c>
    </row>
    <row r="9" spans="1:19">
      <c r="A9" s="277" t="s">
        <v>376</v>
      </c>
      <c r="B9" s="278"/>
      <c r="C9" s="276">
        <f t="shared" si="0"/>
        <v>0</v>
      </c>
      <c r="D9" s="276">
        <f t="shared" si="1"/>
        <v>0</v>
      </c>
      <c r="E9" s="276">
        <f t="shared" si="2"/>
        <v>0</v>
      </c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98">
        <f t="shared" si="4"/>
        <v>0</v>
      </c>
    </row>
    <row r="10" spans="1:19">
      <c r="A10" s="277" t="s">
        <v>377</v>
      </c>
      <c r="B10" s="278"/>
      <c r="C10" s="276">
        <f t="shared" si="0"/>
        <v>0</v>
      </c>
      <c r="D10" s="276">
        <f t="shared" si="1"/>
        <v>0</v>
      </c>
      <c r="E10" s="276">
        <f t="shared" si="2"/>
        <v>0</v>
      </c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98">
        <f t="shared" si="4"/>
        <v>0</v>
      </c>
    </row>
    <row r="11" spans="1:19">
      <c r="A11" s="277" t="s">
        <v>378</v>
      </c>
      <c r="B11" s="278"/>
      <c r="C11" s="276">
        <f t="shared" si="0"/>
        <v>0</v>
      </c>
      <c r="D11" s="276">
        <f t="shared" si="1"/>
        <v>0</v>
      </c>
      <c r="E11" s="276">
        <f t="shared" si="2"/>
        <v>0</v>
      </c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98">
        <f t="shared" si="4"/>
        <v>0</v>
      </c>
    </row>
    <row r="12" spans="1:19">
      <c r="A12" s="277" t="s">
        <v>379</v>
      </c>
      <c r="B12" s="278"/>
      <c r="C12" s="276">
        <f t="shared" ref="C12" si="5">IFERROR(E12/B12,0)</f>
        <v>0</v>
      </c>
      <c r="D12" s="276">
        <f t="shared" ref="D12" si="6">INDEX(F12:Q12,MATCH(--MID($A$3,9,2)&amp;"月",$F$5:$Q$5,))</f>
        <v>0</v>
      </c>
      <c r="E12" s="276">
        <f t="shared" ref="E12" si="7">SUM(F12:Q12)</f>
        <v>0</v>
      </c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98">
        <f t="shared" si="4"/>
        <v>0</v>
      </c>
    </row>
    <row r="13" spans="1:19">
      <c r="A13" s="275" t="s">
        <v>380</v>
      </c>
      <c r="B13" s="278"/>
      <c r="C13" s="276">
        <f t="shared" si="0"/>
        <v>0</v>
      </c>
      <c r="D13" s="276">
        <f t="shared" si="1"/>
        <v>0</v>
      </c>
      <c r="E13" s="276">
        <f t="shared" si="2"/>
        <v>0</v>
      </c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98">
        <f t="shared" si="4"/>
        <v>0</v>
      </c>
    </row>
    <row r="14" spans="1:19">
      <c r="A14" s="275" t="s">
        <v>381</v>
      </c>
      <c r="B14" s="278"/>
      <c r="C14" s="276">
        <f t="shared" si="0"/>
        <v>0</v>
      </c>
      <c r="D14" s="276">
        <f t="shared" si="1"/>
        <v>17630943.919999987</v>
      </c>
      <c r="E14" s="276">
        <f t="shared" si="2"/>
        <v>172222750.31999999</v>
      </c>
      <c r="F14" s="278">
        <v>25515224</v>
      </c>
      <c r="G14" s="278">
        <v>2000000</v>
      </c>
      <c r="H14" s="278">
        <v>3007290.22</v>
      </c>
      <c r="I14" s="278">
        <v>46863.91</v>
      </c>
      <c r="J14" s="278">
        <v>4015496.73</v>
      </c>
      <c r="K14" s="278">
        <v>28960221.739999998</v>
      </c>
      <c r="L14" s="278">
        <v>71650000</v>
      </c>
      <c r="M14" s="278">
        <v>1220000</v>
      </c>
      <c r="N14" s="278">
        <v>16170561.950000018</v>
      </c>
      <c r="O14" s="278">
        <v>1000000</v>
      </c>
      <c r="P14" s="278">
        <v>1006147.849999994</v>
      </c>
      <c r="Q14" s="278">
        <v>17630943.919999987</v>
      </c>
      <c r="R14" s="298">
        <f t="shared" si="4"/>
        <v>0</v>
      </c>
    </row>
    <row r="15" spans="1:19">
      <c r="A15" s="279" t="s">
        <v>382</v>
      </c>
      <c r="B15" s="276"/>
      <c r="C15" s="276">
        <f t="shared" si="0"/>
        <v>0</v>
      </c>
      <c r="D15" s="276">
        <f t="shared" si="1"/>
        <v>17630943.919999987</v>
      </c>
      <c r="E15" s="276">
        <f t="shared" si="2"/>
        <v>172222750.31999999</v>
      </c>
      <c r="F15" s="276">
        <f t="shared" ref="F15:Q15" si="8">F14+F13+F7</f>
        <v>25515224</v>
      </c>
      <c r="G15" s="276">
        <f t="shared" si="8"/>
        <v>2000000</v>
      </c>
      <c r="H15" s="276">
        <f t="shared" si="8"/>
        <v>3007290.22</v>
      </c>
      <c r="I15" s="276">
        <f t="shared" si="8"/>
        <v>46863.91</v>
      </c>
      <c r="J15" s="276">
        <f t="shared" si="8"/>
        <v>4015496.73</v>
      </c>
      <c r="K15" s="276">
        <f t="shared" si="8"/>
        <v>28960221.739999998</v>
      </c>
      <c r="L15" s="276">
        <f t="shared" si="8"/>
        <v>71650000</v>
      </c>
      <c r="M15" s="276">
        <f t="shared" si="8"/>
        <v>1220000</v>
      </c>
      <c r="N15" s="276">
        <f t="shared" si="8"/>
        <v>16170561.950000018</v>
      </c>
      <c r="O15" s="276">
        <f t="shared" si="8"/>
        <v>1000000</v>
      </c>
      <c r="P15" s="276">
        <f t="shared" si="8"/>
        <v>1006147.849999994</v>
      </c>
      <c r="Q15" s="276">
        <f t="shared" si="8"/>
        <v>17630943.919999987</v>
      </c>
      <c r="R15" s="298">
        <f t="shared" si="4"/>
        <v>0</v>
      </c>
    </row>
    <row r="16" spans="1:19">
      <c r="A16" s="275" t="s">
        <v>383</v>
      </c>
      <c r="B16" s="276">
        <f>SUM(B17:B25)</f>
        <v>0</v>
      </c>
      <c r="C16" s="276">
        <f t="shared" si="0"/>
        <v>0</v>
      </c>
      <c r="D16" s="276">
        <f t="shared" si="1"/>
        <v>151294.56</v>
      </c>
      <c r="E16" s="276">
        <f t="shared" si="2"/>
        <v>263067182.30000004</v>
      </c>
      <c r="F16" s="276">
        <f>SUM(F17:F25)</f>
        <v>88846034</v>
      </c>
      <c r="G16" s="276">
        <f t="shared" ref="G16:Q16" si="9">SUM(G17:G25)</f>
        <v>95198.99</v>
      </c>
      <c r="H16" s="276">
        <f t="shared" si="9"/>
        <v>93282115.280000001</v>
      </c>
      <c r="I16" s="276">
        <f t="shared" si="9"/>
        <v>38811665.399999999</v>
      </c>
      <c r="J16" s="276">
        <f t="shared" si="9"/>
        <v>40610827.760000005</v>
      </c>
      <c r="K16" s="276">
        <f t="shared" si="9"/>
        <v>417186.99</v>
      </c>
      <c r="L16" s="276">
        <f t="shared" si="9"/>
        <v>215509.71</v>
      </c>
      <c r="M16" s="276">
        <f t="shared" si="9"/>
        <v>227491.68000000715</v>
      </c>
      <c r="N16" s="276">
        <f t="shared" si="9"/>
        <v>158637.90000000596</v>
      </c>
      <c r="O16" s="276">
        <f t="shared" si="9"/>
        <v>95268.409999996424</v>
      </c>
      <c r="P16" s="276">
        <f t="shared" si="9"/>
        <v>155951.62000000477</v>
      </c>
      <c r="Q16" s="276">
        <f t="shared" si="9"/>
        <v>151294.56</v>
      </c>
      <c r="R16" s="298">
        <f t="shared" si="4"/>
        <v>0</v>
      </c>
    </row>
    <row r="17" spans="1:18">
      <c r="A17" s="280" t="s">
        <v>384</v>
      </c>
      <c r="B17" s="278"/>
      <c r="C17" s="276">
        <f t="shared" si="0"/>
        <v>0</v>
      </c>
      <c r="D17" s="276">
        <f t="shared" si="1"/>
        <v>0</v>
      </c>
      <c r="E17" s="276">
        <f t="shared" si="2"/>
        <v>0</v>
      </c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98">
        <f t="shared" si="4"/>
        <v>0</v>
      </c>
    </row>
    <row r="18" spans="1:18">
      <c r="A18" s="280" t="s">
        <v>385</v>
      </c>
      <c r="B18" s="278"/>
      <c r="C18" s="276">
        <f t="shared" si="0"/>
        <v>0</v>
      </c>
      <c r="D18" s="276">
        <f t="shared" si="1"/>
        <v>67476.92</v>
      </c>
      <c r="E18" s="276">
        <f t="shared" si="2"/>
        <v>12693782.84</v>
      </c>
      <c r="F18" s="278">
        <v>10199081</v>
      </c>
      <c r="G18" s="278"/>
      <c r="H18" s="278"/>
      <c r="I18" s="278"/>
      <c r="J18" s="278">
        <v>2427224.92</v>
      </c>
      <c r="K18" s="278"/>
      <c r="L18" s="278"/>
      <c r="M18" s="278"/>
      <c r="N18" s="278"/>
      <c r="O18" s="278"/>
      <c r="P18" s="278"/>
      <c r="Q18" s="278">
        <v>67476.92</v>
      </c>
      <c r="R18" s="298">
        <f t="shared" si="4"/>
        <v>0</v>
      </c>
    </row>
    <row r="19" spans="1:18">
      <c r="A19" s="280" t="s">
        <v>386</v>
      </c>
      <c r="B19" s="278"/>
      <c r="C19" s="276">
        <f t="shared" si="0"/>
        <v>0</v>
      </c>
      <c r="D19" s="276">
        <f t="shared" si="1"/>
        <v>83817.64</v>
      </c>
      <c r="E19" s="276">
        <f t="shared" si="2"/>
        <v>250057285.45000002</v>
      </c>
      <c r="F19" s="278">
        <f>78648167.39-38200</f>
        <v>78609967.390000001</v>
      </c>
      <c r="G19" s="278">
        <v>95198.99</v>
      </c>
      <c r="H19" s="278">
        <v>93282115.280000001</v>
      </c>
      <c r="I19" s="278">
        <v>38532537</v>
      </c>
      <c r="J19" s="278">
        <v>38183602.840000004</v>
      </c>
      <c r="K19" s="278">
        <v>417186.99</v>
      </c>
      <c r="L19" s="278">
        <v>215509.71</v>
      </c>
      <c r="M19" s="278">
        <v>227491.68000000715</v>
      </c>
      <c r="N19" s="278">
        <v>158637.90000000596</v>
      </c>
      <c r="O19" s="278">
        <v>95268.409999996424</v>
      </c>
      <c r="P19" s="278">
        <v>155951.62000000477</v>
      </c>
      <c r="Q19" s="278">
        <v>83817.64</v>
      </c>
      <c r="R19" s="298">
        <f t="shared" si="4"/>
        <v>0</v>
      </c>
    </row>
    <row r="20" spans="1:18">
      <c r="A20" s="280" t="s">
        <v>387</v>
      </c>
      <c r="B20" s="278"/>
      <c r="C20" s="276">
        <f t="shared" si="0"/>
        <v>0</v>
      </c>
      <c r="D20" s="276">
        <f t="shared" si="1"/>
        <v>0</v>
      </c>
      <c r="E20" s="276">
        <f t="shared" si="2"/>
        <v>0</v>
      </c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98">
        <f t="shared" si="4"/>
        <v>0</v>
      </c>
    </row>
    <row r="21" spans="1:18">
      <c r="A21" s="280" t="s">
        <v>388</v>
      </c>
      <c r="B21" s="278"/>
      <c r="C21" s="276">
        <f t="shared" si="0"/>
        <v>0</v>
      </c>
      <c r="D21" s="276">
        <f t="shared" si="1"/>
        <v>0</v>
      </c>
      <c r="E21" s="276">
        <f t="shared" si="2"/>
        <v>0</v>
      </c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98">
        <f t="shared" si="4"/>
        <v>0</v>
      </c>
    </row>
    <row r="22" spans="1:18">
      <c r="A22" s="277" t="s">
        <v>389</v>
      </c>
      <c r="B22" s="278"/>
      <c r="C22" s="276">
        <f t="shared" si="0"/>
        <v>0</v>
      </c>
      <c r="D22" s="276">
        <f t="shared" si="1"/>
        <v>0</v>
      </c>
      <c r="E22" s="276">
        <f t="shared" si="2"/>
        <v>0</v>
      </c>
      <c r="F22" s="278"/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298">
        <f t="shared" si="4"/>
        <v>0</v>
      </c>
    </row>
    <row r="23" spans="1:18">
      <c r="A23" s="277" t="s">
        <v>390</v>
      </c>
      <c r="B23" s="278"/>
      <c r="C23" s="276">
        <f t="shared" si="0"/>
        <v>0</v>
      </c>
      <c r="D23" s="276">
        <f t="shared" si="1"/>
        <v>0</v>
      </c>
      <c r="E23" s="276">
        <f t="shared" si="2"/>
        <v>0</v>
      </c>
      <c r="F23" s="278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98">
        <f t="shared" si="4"/>
        <v>0</v>
      </c>
    </row>
    <row r="24" spans="1:18">
      <c r="A24" s="277" t="s">
        <v>391</v>
      </c>
      <c r="B24" s="278"/>
      <c r="C24" s="276">
        <f t="shared" si="0"/>
        <v>0</v>
      </c>
      <c r="D24" s="276">
        <f t="shared" si="1"/>
        <v>0</v>
      </c>
      <c r="E24" s="276">
        <f t="shared" si="2"/>
        <v>0</v>
      </c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98">
        <f t="shared" si="4"/>
        <v>0</v>
      </c>
    </row>
    <row r="25" spans="1:18">
      <c r="A25" s="277" t="s">
        <v>379</v>
      </c>
      <c r="B25" s="278"/>
      <c r="C25" s="276">
        <f t="shared" ref="C25" si="10">IFERROR(E25/B25,0)</f>
        <v>0</v>
      </c>
      <c r="D25" s="276">
        <f t="shared" ref="D25" si="11">INDEX(F25:Q25,MATCH(--MID($A$3,9,2)&amp;"月",$F$5:$Q$5,))</f>
        <v>0</v>
      </c>
      <c r="E25" s="276">
        <f t="shared" ref="E25" si="12">SUM(F25:Q25)</f>
        <v>316114.01</v>
      </c>
      <c r="F25" s="278">
        <v>36985.61</v>
      </c>
      <c r="G25" s="278"/>
      <c r="H25" s="278"/>
      <c r="I25" s="278">
        <v>279128.40000000002</v>
      </c>
      <c r="J25" s="278"/>
      <c r="K25" s="278"/>
      <c r="L25" s="278"/>
      <c r="M25" s="278"/>
      <c r="N25" s="278"/>
      <c r="O25" s="278"/>
      <c r="P25" s="278"/>
      <c r="Q25" s="278"/>
      <c r="R25" s="298">
        <f t="shared" si="4"/>
        <v>0</v>
      </c>
    </row>
    <row r="26" spans="1:18">
      <c r="A26" s="275" t="s">
        <v>392</v>
      </c>
      <c r="B26" s="278"/>
      <c r="C26" s="276">
        <f t="shared" si="0"/>
        <v>0</v>
      </c>
      <c r="D26" s="276">
        <f t="shared" si="1"/>
        <v>505354.25999999978</v>
      </c>
      <c r="E26" s="276">
        <f t="shared" si="2"/>
        <v>9595888.5600000005</v>
      </c>
      <c r="F26" s="278">
        <v>1910893.56</v>
      </c>
      <c r="G26" s="278">
        <v>897225.04</v>
      </c>
      <c r="H26" s="278">
        <v>640119.97</v>
      </c>
      <c r="I26" s="278">
        <v>770131.17</v>
      </c>
      <c r="J26" s="278">
        <v>1180599.68</v>
      </c>
      <c r="K26" s="278">
        <v>562530.64</v>
      </c>
      <c r="L26" s="278">
        <v>1056060.98</v>
      </c>
      <c r="M26" s="278">
        <v>687799.75999999978</v>
      </c>
      <c r="N26" s="278">
        <v>750730.29</v>
      </c>
      <c r="O26" s="278">
        <v>334270.15000000037</v>
      </c>
      <c r="P26" s="278">
        <v>300173.06000000052</v>
      </c>
      <c r="Q26" s="278">
        <v>505354.25999999978</v>
      </c>
      <c r="R26" s="298">
        <f t="shared" si="4"/>
        <v>0</v>
      </c>
    </row>
    <row r="27" spans="1:18">
      <c r="A27" s="275" t="s">
        <v>393</v>
      </c>
      <c r="B27" s="278"/>
      <c r="C27" s="276">
        <f t="shared" si="0"/>
        <v>0</v>
      </c>
      <c r="D27" s="276">
        <f t="shared" si="1"/>
        <v>18155.910000000033</v>
      </c>
      <c r="E27" s="276">
        <f t="shared" si="2"/>
        <v>593192.48</v>
      </c>
      <c r="F27" s="278">
        <v>49218.6</v>
      </c>
      <c r="G27" s="278">
        <v>86849.75</v>
      </c>
      <c r="H27" s="278">
        <v>17945.650000000001</v>
      </c>
      <c r="I27" s="278">
        <v>28119.85</v>
      </c>
      <c r="J27" s="278">
        <v>95571.5</v>
      </c>
      <c r="K27" s="278">
        <v>32504.62</v>
      </c>
      <c r="L27" s="278">
        <v>32677.4</v>
      </c>
      <c r="M27" s="278">
        <v>28309.510000000009</v>
      </c>
      <c r="N27" s="278">
        <v>25413.159999999974</v>
      </c>
      <c r="O27" s="278">
        <v>158587.09000000003</v>
      </c>
      <c r="P27" s="278">
        <v>19839.439999999944</v>
      </c>
      <c r="Q27" s="278">
        <v>18155.910000000033</v>
      </c>
      <c r="R27" s="298">
        <f t="shared" si="4"/>
        <v>0</v>
      </c>
    </row>
    <row r="28" spans="1:18">
      <c r="A28" s="275" t="s">
        <v>394</v>
      </c>
      <c r="B28" s="278"/>
      <c r="C28" s="276">
        <f t="shared" si="0"/>
        <v>0</v>
      </c>
      <c r="D28" s="276">
        <f t="shared" si="1"/>
        <v>64670.920000001788</v>
      </c>
      <c r="E28" s="276">
        <f t="shared" si="2"/>
        <v>81362066.249999985</v>
      </c>
      <c r="F28" s="278">
        <v>25841173.09</v>
      </c>
      <c r="G28" s="278">
        <v>11475</v>
      </c>
      <c r="H28" s="278">
        <v>831354.1</v>
      </c>
      <c r="I28" s="278">
        <v>35539.440000000002</v>
      </c>
      <c r="J28" s="278">
        <v>4488556.57</v>
      </c>
      <c r="K28" s="278">
        <v>13755261.539999999</v>
      </c>
      <c r="L28" s="278">
        <v>35084984.299999997</v>
      </c>
      <c r="M28" s="278">
        <v>14738.529999986291</v>
      </c>
      <c r="N28" s="278">
        <v>1056289.900000006</v>
      </c>
      <c r="O28" s="278">
        <v>178008.8599999994</v>
      </c>
      <c r="P28" s="278">
        <v>14</v>
      </c>
      <c r="Q28" s="278">
        <v>64670.920000001788</v>
      </c>
      <c r="R28" s="298">
        <f t="shared" si="4"/>
        <v>0</v>
      </c>
    </row>
    <row r="29" spans="1:18">
      <c r="A29" s="279" t="s">
        <v>395</v>
      </c>
      <c r="B29" s="276"/>
      <c r="C29" s="276">
        <f t="shared" si="0"/>
        <v>0</v>
      </c>
      <c r="D29" s="276">
        <f t="shared" si="1"/>
        <v>739475.65000000165</v>
      </c>
      <c r="E29" s="276">
        <f t="shared" si="2"/>
        <v>354618329.58999997</v>
      </c>
      <c r="F29" s="276">
        <f t="shared" ref="F29:Q29" si="13">F16+F26+F27+F28</f>
        <v>116647319.25</v>
      </c>
      <c r="G29" s="276">
        <f t="shared" si="13"/>
        <v>1090748.78</v>
      </c>
      <c r="H29" s="276">
        <f t="shared" si="13"/>
        <v>94771535</v>
      </c>
      <c r="I29" s="276">
        <f t="shared" si="13"/>
        <v>39645455.859999999</v>
      </c>
      <c r="J29" s="276">
        <f t="shared" si="13"/>
        <v>46375555.510000005</v>
      </c>
      <c r="K29" s="276">
        <f t="shared" si="13"/>
        <v>14767483.789999999</v>
      </c>
      <c r="L29" s="276">
        <f t="shared" si="13"/>
        <v>36389232.390000001</v>
      </c>
      <c r="M29" s="276">
        <f t="shared" si="13"/>
        <v>958339.47999999323</v>
      </c>
      <c r="N29" s="276">
        <f t="shared" si="13"/>
        <v>1991071.2500000119</v>
      </c>
      <c r="O29" s="276">
        <f t="shared" si="13"/>
        <v>766134.50999999628</v>
      </c>
      <c r="P29" s="276">
        <f t="shared" si="13"/>
        <v>475978.12000000523</v>
      </c>
      <c r="Q29" s="276">
        <f t="shared" si="13"/>
        <v>739475.65000000165</v>
      </c>
      <c r="R29" s="298">
        <f t="shared" si="4"/>
        <v>0</v>
      </c>
    </row>
    <row r="30" spans="1:18">
      <c r="A30" s="279" t="s">
        <v>396</v>
      </c>
      <c r="B30" s="276"/>
      <c r="C30" s="276">
        <f t="shared" si="0"/>
        <v>0</v>
      </c>
      <c r="D30" s="276">
        <f t="shared" si="1"/>
        <v>16891468.269999985</v>
      </c>
      <c r="E30" s="276">
        <f t="shared" si="2"/>
        <v>-182395579.27000001</v>
      </c>
      <c r="F30" s="276">
        <f t="shared" ref="F30:Q30" si="14">F15-F29</f>
        <v>-91132095.25</v>
      </c>
      <c r="G30" s="276">
        <f t="shared" si="14"/>
        <v>909251.22</v>
      </c>
      <c r="H30" s="276">
        <f t="shared" si="14"/>
        <v>-91764244.780000001</v>
      </c>
      <c r="I30" s="276">
        <f t="shared" si="14"/>
        <v>-39598591.950000003</v>
      </c>
      <c r="J30" s="276">
        <f t="shared" si="14"/>
        <v>-42360058.780000009</v>
      </c>
      <c r="K30" s="276">
        <f t="shared" si="14"/>
        <v>14192737.949999999</v>
      </c>
      <c r="L30" s="276">
        <f t="shared" si="14"/>
        <v>35260767.609999999</v>
      </c>
      <c r="M30" s="276">
        <f t="shared" si="14"/>
        <v>261660.52000000677</v>
      </c>
      <c r="N30" s="276">
        <f t="shared" si="14"/>
        <v>14179490.700000007</v>
      </c>
      <c r="O30" s="276">
        <f t="shared" si="14"/>
        <v>233865.49000000372</v>
      </c>
      <c r="P30" s="276">
        <f t="shared" si="14"/>
        <v>530169.72999998881</v>
      </c>
      <c r="Q30" s="276">
        <f t="shared" si="14"/>
        <v>16891468.269999985</v>
      </c>
      <c r="R30" s="298">
        <f t="shared" si="4"/>
        <v>0</v>
      </c>
    </row>
    <row r="31" spans="1:18">
      <c r="A31" s="272" t="s">
        <v>397</v>
      </c>
      <c r="B31" s="281"/>
      <c r="C31" s="282">
        <f t="shared" si="0"/>
        <v>0</v>
      </c>
      <c r="D31" s="282" t="str">
        <f t="shared" si="1"/>
        <v>——</v>
      </c>
      <c r="E31" s="282" t="s">
        <v>180</v>
      </c>
      <c r="F31" s="281" t="s">
        <v>180</v>
      </c>
      <c r="G31" s="281" t="s">
        <v>180</v>
      </c>
      <c r="H31" s="281" t="s">
        <v>180</v>
      </c>
      <c r="I31" s="281" t="s">
        <v>180</v>
      </c>
      <c r="J31" s="281" t="s">
        <v>180</v>
      </c>
      <c r="K31" s="281" t="s">
        <v>180</v>
      </c>
      <c r="L31" s="281" t="s">
        <v>180</v>
      </c>
      <c r="M31" s="281" t="s">
        <v>180</v>
      </c>
      <c r="N31" s="281" t="s">
        <v>180</v>
      </c>
      <c r="O31" s="281" t="s">
        <v>180</v>
      </c>
      <c r="P31" s="281" t="s">
        <v>180</v>
      </c>
      <c r="Q31" s="281" t="s">
        <v>180</v>
      </c>
      <c r="R31" s="298"/>
    </row>
    <row r="32" spans="1:18">
      <c r="A32" s="275" t="s">
        <v>398</v>
      </c>
      <c r="B32" s="283"/>
      <c r="C32" s="276">
        <f t="shared" si="0"/>
        <v>0</v>
      </c>
      <c r="D32" s="276">
        <f t="shared" si="1"/>
        <v>0</v>
      </c>
      <c r="E32" s="276">
        <f t="shared" ref="E32:E43" si="15">SUM(F32:Q32)</f>
        <v>0</v>
      </c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98">
        <f t="shared" si="4"/>
        <v>0</v>
      </c>
    </row>
    <row r="33" spans="1:18">
      <c r="A33" s="275" t="s">
        <v>399</v>
      </c>
      <c r="B33" s="283"/>
      <c r="C33" s="276">
        <f t="shared" si="0"/>
        <v>0</v>
      </c>
      <c r="D33" s="276">
        <f t="shared" si="1"/>
        <v>0</v>
      </c>
      <c r="E33" s="276">
        <f t="shared" si="15"/>
        <v>0</v>
      </c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98">
        <f t="shared" si="4"/>
        <v>0</v>
      </c>
    </row>
    <row r="34" spans="1:18" ht="22.5">
      <c r="A34" s="284" t="s">
        <v>400</v>
      </c>
      <c r="B34" s="283"/>
      <c r="C34" s="276">
        <f t="shared" si="0"/>
        <v>0</v>
      </c>
      <c r="D34" s="276">
        <f t="shared" si="1"/>
        <v>0</v>
      </c>
      <c r="E34" s="276">
        <f t="shared" si="15"/>
        <v>0</v>
      </c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98">
        <f t="shared" si="4"/>
        <v>0</v>
      </c>
    </row>
    <row r="35" spans="1:18">
      <c r="A35" s="275" t="s">
        <v>401</v>
      </c>
      <c r="B35" s="283"/>
      <c r="C35" s="276">
        <f t="shared" si="0"/>
        <v>0</v>
      </c>
      <c r="D35" s="276">
        <f t="shared" si="1"/>
        <v>0</v>
      </c>
      <c r="E35" s="276">
        <f t="shared" si="15"/>
        <v>0</v>
      </c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98">
        <f t="shared" si="4"/>
        <v>0</v>
      </c>
    </row>
    <row r="36" spans="1:18">
      <c r="A36" s="275" t="s">
        <v>402</v>
      </c>
      <c r="B36" s="283"/>
      <c r="C36" s="276">
        <f t="shared" si="0"/>
        <v>0</v>
      </c>
      <c r="D36" s="276">
        <f t="shared" si="1"/>
        <v>0</v>
      </c>
      <c r="E36" s="276">
        <f t="shared" si="15"/>
        <v>0</v>
      </c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98">
        <f t="shared" si="4"/>
        <v>0</v>
      </c>
    </row>
    <row r="37" spans="1:18">
      <c r="A37" s="279" t="s">
        <v>403</v>
      </c>
      <c r="B37" s="276"/>
      <c r="C37" s="276">
        <f t="shared" si="0"/>
        <v>0</v>
      </c>
      <c r="D37" s="276">
        <f t="shared" si="1"/>
        <v>0</v>
      </c>
      <c r="E37" s="276">
        <f t="shared" si="15"/>
        <v>0</v>
      </c>
      <c r="F37" s="276">
        <f t="shared" ref="F37:Q37" si="16">SUM(F32:F36)</f>
        <v>0</v>
      </c>
      <c r="G37" s="276">
        <f t="shared" si="16"/>
        <v>0</v>
      </c>
      <c r="H37" s="276">
        <f t="shared" si="16"/>
        <v>0</v>
      </c>
      <c r="I37" s="276">
        <f t="shared" si="16"/>
        <v>0</v>
      </c>
      <c r="J37" s="276">
        <f t="shared" si="16"/>
        <v>0</v>
      </c>
      <c r="K37" s="276">
        <f t="shared" si="16"/>
        <v>0</v>
      </c>
      <c r="L37" s="276">
        <f t="shared" si="16"/>
        <v>0</v>
      </c>
      <c r="M37" s="276">
        <f t="shared" si="16"/>
        <v>0</v>
      </c>
      <c r="N37" s="276">
        <f t="shared" si="16"/>
        <v>0</v>
      </c>
      <c r="O37" s="276">
        <f t="shared" si="16"/>
        <v>0</v>
      </c>
      <c r="P37" s="276">
        <f t="shared" si="16"/>
        <v>0</v>
      </c>
      <c r="Q37" s="276">
        <f t="shared" si="16"/>
        <v>0</v>
      </c>
      <c r="R37" s="298">
        <f t="shared" si="4"/>
        <v>0</v>
      </c>
    </row>
    <row r="38" spans="1:18" ht="23.1" customHeight="1">
      <c r="A38" s="284" t="s">
        <v>404</v>
      </c>
      <c r="B38" s="283"/>
      <c r="C38" s="276">
        <f t="shared" si="0"/>
        <v>0</v>
      </c>
      <c r="D38" s="276">
        <f t="shared" si="1"/>
        <v>0</v>
      </c>
      <c r="E38" s="276">
        <f t="shared" si="15"/>
        <v>0</v>
      </c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98">
        <f t="shared" si="4"/>
        <v>0</v>
      </c>
    </row>
    <row r="39" spans="1:18">
      <c r="A39" s="275" t="s">
        <v>405</v>
      </c>
      <c r="B39" s="283"/>
      <c r="C39" s="276">
        <f t="shared" si="0"/>
        <v>0</v>
      </c>
      <c r="D39" s="276">
        <f t="shared" si="1"/>
        <v>0</v>
      </c>
      <c r="E39" s="276">
        <f t="shared" si="15"/>
        <v>0</v>
      </c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98">
        <f t="shared" si="4"/>
        <v>0</v>
      </c>
    </row>
    <row r="40" spans="1:18">
      <c r="A40" s="275" t="s">
        <v>406</v>
      </c>
      <c r="B40" s="283"/>
      <c r="C40" s="276">
        <f t="shared" si="0"/>
        <v>0</v>
      </c>
      <c r="D40" s="276">
        <f t="shared" si="1"/>
        <v>0</v>
      </c>
      <c r="E40" s="276">
        <f t="shared" si="15"/>
        <v>0</v>
      </c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98">
        <f t="shared" si="4"/>
        <v>0</v>
      </c>
    </row>
    <row r="41" spans="1:18">
      <c r="A41" s="275" t="s">
        <v>407</v>
      </c>
      <c r="B41" s="283"/>
      <c r="C41" s="276">
        <f t="shared" si="0"/>
        <v>0</v>
      </c>
      <c r="D41" s="276">
        <f t="shared" si="1"/>
        <v>0</v>
      </c>
      <c r="E41" s="276">
        <f t="shared" si="15"/>
        <v>0</v>
      </c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98">
        <f t="shared" si="4"/>
        <v>0</v>
      </c>
    </row>
    <row r="42" spans="1:18">
      <c r="A42" s="279" t="s">
        <v>408</v>
      </c>
      <c r="B42" s="276"/>
      <c r="C42" s="276">
        <f t="shared" si="0"/>
        <v>0</v>
      </c>
      <c r="D42" s="276">
        <f t="shared" si="1"/>
        <v>0</v>
      </c>
      <c r="E42" s="276">
        <f t="shared" si="15"/>
        <v>0</v>
      </c>
      <c r="F42" s="276">
        <f t="shared" ref="F42:Q42" si="17">SUM(F38:F41)</f>
        <v>0</v>
      </c>
      <c r="G42" s="276">
        <f t="shared" si="17"/>
        <v>0</v>
      </c>
      <c r="H42" s="276">
        <f t="shared" si="17"/>
        <v>0</v>
      </c>
      <c r="I42" s="276">
        <f t="shared" si="17"/>
        <v>0</v>
      </c>
      <c r="J42" s="276">
        <f t="shared" si="17"/>
        <v>0</v>
      </c>
      <c r="K42" s="276">
        <f t="shared" si="17"/>
        <v>0</v>
      </c>
      <c r="L42" s="276">
        <f t="shared" si="17"/>
        <v>0</v>
      </c>
      <c r="M42" s="276">
        <f t="shared" si="17"/>
        <v>0</v>
      </c>
      <c r="N42" s="276">
        <f t="shared" si="17"/>
        <v>0</v>
      </c>
      <c r="O42" s="276">
        <f t="shared" si="17"/>
        <v>0</v>
      </c>
      <c r="P42" s="276">
        <f t="shared" si="17"/>
        <v>0</v>
      </c>
      <c r="Q42" s="276">
        <f t="shared" si="17"/>
        <v>0</v>
      </c>
      <c r="R42" s="298">
        <f t="shared" si="4"/>
        <v>0</v>
      </c>
    </row>
    <row r="43" spans="1:18">
      <c r="A43" s="279" t="s">
        <v>409</v>
      </c>
      <c r="B43" s="276"/>
      <c r="C43" s="276">
        <f t="shared" si="0"/>
        <v>0</v>
      </c>
      <c r="D43" s="276">
        <f t="shared" si="1"/>
        <v>0</v>
      </c>
      <c r="E43" s="276">
        <f t="shared" si="15"/>
        <v>0</v>
      </c>
      <c r="F43" s="276">
        <f t="shared" ref="F43:Q43" si="18">F37-F42</f>
        <v>0</v>
      </c>
      <c r="G43" s="276">
        <f t="shared" si="18"/>
        <v>0</v>
      </c>
      <c r="H43" s="276">
        <f t="shared" si="18"/>
        <v>0</v>
      </c>
      <c r="I43" s="276">
        <f t="shared" si="18"/>
        <v>0</v>
      </c>
      <c r="J43" s="276">
        <f t="shared" si="18"/>
        <v>0</v>
      </c>
      <c r="K43" s="276">
        <f t="shared" si="18"/>
        <v>0</v>
      </c>
      <c r="L43" s="276">
        <f t="shared" si="18"/>
        <v>0</v>
      </c>
      <c r="M43" s="276">
        <f t="shared" si="18"/>
        <v>0</v>
      </c>
      <c r="N43" s="276">
        <f t="shared" si="18"/>
        <v>0</v>
      </c>
      <c r="O43" s="276">
        <f t="shared" si="18"/>
        <v>0</v>
      </c>
      <c r="P43" s="276">
        <f t="shared" si="18"/>
        <v>0</v>
      </c>
      <c r="Q43" s="276">
        <f t="shared" si="18"/>
        <v>0</v>
      </c>
      <c r="R43" s="298">
        <f t="shared" si="4"/>
        <v>0</v>
      </c>
    </row>
    <row r="44" spans="1:18">
      <c r="A44" s="272" t="s">
        <v>410</v>
      </c>
      <c r="B44" s="281"/>
      <c r="C44" s="282">
        <f t="shared" si="0"/>
        <v>0</v>
      </c>
      <c r="D44" s="276" t="str">
        <f t="shared" si="1"/>
        <v>——</v>
      </c>
      <c r="E44" s="282" t="s">
        <v>180</v>
      </c>
      <c r="F44" s="281" t="s">
        <v>180</v>
      </c>
      <c r="G44" s="281" t="s">
        <v>180</v>
      </c>
      <c r="H44" s="281" t="s">
        <v>180</v>
      </c>
      <c r="I44" s="281" t="s">
        <v>180</v>
      </c>
      <c r="J44" s="281" t="s">
        <v>180</v>
      </c>
      <c r="K44" s="281" t="s">
        <v>180</v>
      </c>
      <c r="L44" s="281" t="s">
        <v>180</v>
      </c>
      <c r="M44" s="281" t="s">
        <v>180</v>
      </c>
      <c r="N44" s="281" t="s">
        <v>180</v>
      </c>
      <c r="O44" s="281" t="s">
        <v>180</v>
      </c>
      <c r="P44" s="281" t="s">
        <v>180</v>
      </c>
      <c r="Q44" s="281" t="s">
        <v>180</v>
      </c>
      <c r="R44" s="298"/>
    </row>
    <row r="45" spans="1:18">
      <c r="A45" s="275" t="s">
        <v>411</v>
      </c>
      <c r="B45" s="283"/>
      <c r="C45" s="276">
        <f t="shared" si="0"/>
        <v>0</v>
      </c>
      <c r="D45" s="276">
        <f t="shared" si="1"/>
        <v>0</v>
      </c>
      <c r="E45" s="276">
        <f t="shared" ref="E45:E58" si="19">SUM(F45:Q45)</f>
        <v>0</v>
      </c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98">
        <f t="shared" si="4"/>
        <v>0</v>
      </c>
    </row>
    <row r="46" spans="1:18">
      <c r="A46" s="280" t="s">
        <v>412</v>
      </c>
      <c r="B46" s="283"/>
      <c r="C46" s="276">
        <f t="shared" si="0"/>
        <v>0</v>
      </c>
      <c r="D46" s="276">
        <f t="shared" si="1"/>
        <v>0</v>
      </c>
      <c r="E46" s="276">
        <f t="shared" si="19"/>
        <v>0</v>
      </c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98">
        <f t="shared" si="4"/>
        <v>0</v>
      </c>
    </row>
    <row r="47" spans="1:18">
      <c r="A47" s="275" t="s">
        <v>413</v>
      </c>
      <c r="B47" s="283"/>
      <c r="C47" s="276">
        <f t="shared" si="0"/>
        <v>0</v>
      </c>
      <c r="D47" s="276">
        <f t="shared" si="1"/>
        <v>0</v>
      </c>
      <c r="E47" s="276">
        <f t="shared" si="19"/>
        <v>272290590.36000001</v>
      </c>
      <c r="F47" s="283">
        <v>88847248.390000001</v>
      </c>
      <c r="G47" s="283"/>
      <c r="H47" s="283">
        <v>104149878.72</v>
      </c>
      <c r="I47" s="283">
        <v>38467833.600000001</v>
      </c>
      <c r="J47" s="283">
        <v>40825629.649999999</v>
      </c>
      <c r="K47" s="283"/>
      <c r="L47" s="283"/>
      <c r="M47" s="283"/>
      <c r="N47" s="283"/>
      <c r="O47" s="283"/>
      <c r="P47" s="283"/>
      <c r="Q47" s="283"/>
      <c r="R47" s="298">
        <f t="shared" si="4"/>
        <v>0</v>
      </c>
    </row>
    <row r="48" spans="1:18">
      <c r="A48" s="275" t="s">
        <v>414</v>
      </c>
      <c r="B48" s="283"/>
      <c r="C48" s="276">
        <f t="shared" si="0"/>
        <v>0</v>
      </c>
      <c r="D48" s="276">
        <f t="shared" si="1"/>
        <v>0</v>
      </c>
      <c r="E48" s="276">
        <f t="shared" si="19"/>
        <v>0</v>
      </c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98">
        <f t="shared" si="4"/>
        <v>0</v>
      </c>
    </row>
    <row r="49" spans="1:18">
      <c r="A49" s="275" t="s">
        <v>415</v>
      </c>
      <c r="B49" s="283"/>
      <c r="C49" s="276">
        <f t="shared" si="0"/>
        <v>0</v>
      </c>
      <c r="D49" s="276">
        <f t="shared" si="1"/>
        <v>0</v>
      </c>
      <c r="E49" s="276">
        <f t="shared" si="19"/>
        <v>0</v>
      </c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98">
        <f t="shared" si="4"/>
        <v>0</v>
      </c>
    </row>
    <row r="50" spans="1:18">
      <c r="A50" s="279" t="s">
        <v>416</v>
      </c>
      <c r="B50" s="276"/>
      <c r="C50" s="276">
        <f t="shared" si="0"/>
        <v>0</v>
      </c>
      <c r="D50" s="276">
        <f t="shared" si="1"/>
        <v>0</v>
      </c>
      <c r="E50" s="276">
        <f t="shared" si="19"/>
        <v>272290590.36000001</v>
      </c>
      <c r="F50" s="276">
        <f t="shared" ref="F50:Q50" si="20">SUM(F45:F49)-F46</f>
        <v>88847248.390000001</v>
      </c>
      <c r="G50" s="276">
        <f t="shared" si="20"/>
        <v>0</v>
      </c>
      <c r="H50" s="276">
        <f t="shared" si="20"/>
        <v>104149878.72</v>
      </c>
      <c r="I50" s="276">
        <f t="shared" si="20"/>
        <v>38467833.600000001</v>
      </c>
      <c r="J50" s="276">
        <f t="shared" si="20"/>
        <v>40825629.649999999</v>
      </c>
      <c r="K50" s="276">
        <f t="shared" si="20"/>
        <v>0</v>
      </c>
      <c r="L50" s="276">
        <f t="shared" si="20"/>
        <v>0</v>
      </c>
      <c r="M50" s="276">
        <f t="shared" si="20"/>
        <v>0</v>
      </c>
      <c r="N50" s="276">
        <f t="shared" si="20"/>
        <v>0</v>
      </c>
      <c r="O50" s="276">
        <f t="shared" si="20"/>
        <v>0</v>
      </c>
      <c r="P50" s="276">
        <f t="shared" si="20"/>
        <v>0</v>
      </c>
      <c r="Q50" s="276">
        <f t="shared" si="20"/>
        <v>0</v>
      </c>
      <c r="R50" s="298">
        <f t="shared" si="4"/>
        <v>0</v>
      </c>
    </row>
    <row r="51" spans="1:18">
      <c r="A51" s="275" t="s">
        <v>417</v>
      </c>
      <c r="B51" s="283"/>
      <c r="C51" s="276">
        <f t="shared" si="0"/>
        <v>0</v>
      </c>
      <c r="D51" s="276">
        <f t="shared" si="1"/>
        <v>0</v>
      </c>
      <c r="E51" s="276">
        <f t="shared" si="19"/>
        <v>34925698.200000003</v>
      </c>
      <c r="F51" s="283"/>
      <c r="G51" s="283"/>
      <c r="H51" s="283"/>
      <c r="I51" s="283"/>
      <c r="J51" s="283"/>
      <c r="K51" s="283"/>
      <c r="L51" s="283">
        <v>34925698.200000003</v>
      </c>
      <c r="M51" s="283"/>
      <c r="N51" s="283"/>
      <c r="O51" s="283"/>
      <c r="P51" s="283"/>
      <c r="Q51" s="283"/>
      <c r="R51" s="298">
        <f t="shared" si="4"/>
        <v>0</v>
      </c>
    </row>
    <row r="52" spans="1:18">
      <c r="A52" s="275" t="s">
        <v>418</v>
      </c>
      <c r="B52" s="283"/>
      <c r="C52" s="276">
        <f t="shared" si="0"/>
        <v>0</v>
      </c>
      <c r="D52" s="276">
        <f t="shared" si="1"/>
        <v>13628304.440000005</v>
      </c>
      <c r="E52" s="276">
        <f t="shared" si="19"/>
        <v>52240524.240000002</v>
      </c>
      <c r="F52" s="283"/>
      <c r="G52" s="283"/>
      <c r="H52" s="283">
        <v>10902432.720000001</v>
      </c>
      <c r="I52" s="283"/>
      <c r="J52" s="283"/>
      <c r="K52" s="283">
        <v>13668154.77</v>
      </c>
      <c r="L52" s="283"/>
      <c r="M52" s="283"/>
      <c r="N52" s="283">
        <v>14041632.309999999</v>
      </c>
      <c r="O52" s="283"/>
      <c r="P52" s="283"/>
      <c r="Q52" s="283">
        <v>13628304.440000005</v>
      </c>
      <c r="R52" s="298">
        <f t="shared" si="4"/>
        <v>0</v>
      </c>
    </row>
    <row r="53" spans="1:18">
      <c r="A53" s="280" t="s">
        <v>419</v>
      </c>
      <c r="B53" s="283"/>
      <c r="C53" s="276">
        <f t="shared" si="0"/>
        <v>0</v>
      </c>
      <c r="D53" s="276">
        <f t="shared" si="1"/>
        <v>0</v>
      </c>
      <c r="E53" s="276">
        <f t="shared" si="19"/>
        <v>0</v>
      </c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3"/>
      <c r="Q53" s="283"/>
      <c r="R53" s="298">
        <f t="shared" si="4"/>
        <v>0</v>
      </c>
    </row>
    <row r="54" spans="1:18">
      <c r="A54" s="275" t="s">
        <v>420</v>
      </c>
      <c r="B54" s="283"/>
      <c r="C54" s="276">
        <f t="shared" si="0"/>
        <v>0</v>
      </c>
      <c r="D54" s="276">
        <f t="shared" si="1"/>
        <v>0</v>
      </c>
      <c r="E54" s="276">
        <f t="shared" si="19"/>
        <v>0</v>
      </c>
      <c r="F54" s="283"/>
      <c r="G54" s="283"/>
      <c r="H54" s="283"/>
      <c r="I54" s="283"/>
      <c r="J54" s="283"/>
      <c r="K54" s="283"/>
      <c r="L54" s="283"/>
      <c r="M54" s="283"/>
      <c r="N54" s="283"/>
      <c r="O54" s="283"/>
      <c r="P54" s="283"/>
      <c r="Q54" s="283"/>
      <c r="R54" s="298">
        <f t="shared" si="4"/>
        <v>0</v>
      </c>
    </row>
    <row r="55" spans="1:18">
      <c r="A55" s="279" t="s">
        <v>421</v>
      </c>
      <c r="B55" s="276"/>
      <c r="C55" s="276">
        <f t="shared" si="0"/>
        <v>0</v>
      </c>
      <c r="D55" s="276">
        <f t="shared" si="1"/>
        <v>13628304.440000005</v>
      </c>
      <c r="E55" s="276">
        <f t="shared" si="19"/>
        <v>87166222.439999998</v>
      </c>
      <c r="F55" s="276">
        <f t="shared" ref="F55:Q55" si="21">SUM(F51:F54)-F53</f>
        <v>0</v>
      </c>
      <c r="G55" s="276">
        <f t="shared" si="21"/>
        <v>0</v>
      </c>
      <c r="H55" s="276">
        <f t="shared" si="21"/>
        <v>10902432.720000001</v>
      </c>
      <c r="I55" s="276">
        <f t="shared" si="21"/>
        <v>0</v>
      </c>
      <c r="J55" s="276">
        <f t="shared" si="21"/>
        <v>0</v>
      </c>
      <c r="K55" s="276">
        <f t="shared" si="21"/>
        <v>13668154.77</v>
      </c>
      <c r="L55" s="276">
        <f t="shared" si="21"/>
        <v>34925698.200000003</v>
      </c>
      <c r="M55" s="276">
        <f t="shared" si="21"/>
        <v>0</v>
      </c>
      <c r="N55" s="276">
        <f t="shared" si="21"/>
        <v>14041632.309999999</v>
      </c>
      <c r="O55" s="276">
        <f t="shared" si="21"/>
        <v>0</v>
      </c>
      <c r="P55" s="276">
        <f t="shared" si="21"/>
        <v>0</v>
      </c>
      <c r="Q55" s="276">
        <f t="shared" si="21"/>
        <v>13628304.440000005</v>
      </c>
      <c r="R55" s="298">
        <f t="shared" si="4"/>
        <v>0</v>
      </c>
    </row>
    <row r="56" spans="1:18">
      <c r="A56" s="279" t="s">
        <v>422</v>
      </c>
      <c r="B56" s="276"/>
      <c r="C56" s="276">
        <f t="shared" si="0"/>
        <v>0</v>
      </c>
      <c r="D56" s="276">
        <f t="shared" si="1"/>
        <v>-13628304.440000005</v>
      </c>
      <c r="E56" s="276">
        <f t="shared" si="19"/>
        <v>185124367.91999996</v>
      </c>
      <c r="F56" s="276">
        <f t="shared" ref="F56:Q56" si="22">F50-F55</f>
        <v>88847248.390000001</v>
      </c>
      <c r="G56" s="276">
        <f t="shared" si="22"/>
        <v>0</v>
      </c>
      <c r="H56" s="276">
        <f t="shared" si="22"/>
        <v>93247446</v>
      </c>
      <c r="I56" s="276">
        <f t="shared" si="22"/>
        <v>38467833.600000001</v>
      </c>
      <c r="J56" s="276">
        <f t="shared" si="22"/>
        <v>40825629.649999999</v>
      </c>
      <c r="K56" s="276">
        <f t="shared" si="22"/>
        <v>-13668154.77</v>
      </c>
      <c r="L56" s="276">
        <f t="shared" si="22"/>
        <v>-34925698.200000003</v>
      </c>
      <c r="M56" s="276">
        <f t="shared" si="22"/>
        <v>0</v>
      </c>
      <c r="N56" s="276">
        <f t="shared" si="22"/>
        <v>-14041632.309999999</v>
      </c>
      <c r="O56" s="276">
        <f t="shared" si="22"/>
        <v>0</v>
      </c>
      <c r="P56" s="276">
        <f t="shared" si="22"/>
        <v>0</v>
      </c>
      <c r="Q56" s="276">
        <f t="shared" si="22"/>
        <v>-13628304.440000005</v>
      </c>
      <c r="R56" s="298">
        <f t="shared" si="4"/>
        <v>0</v>
      </c>
    </row>
    <row r="57" spans="1:18">
      <c r="A57" s="272" t="s">
        <v>423</v>
      </c>
      <c r="B57" s="283"/>
      <c r="C57" s="276">
        <f t="shared" si="0"/>
        <v>0</v>
      </c>
      <c r="D57" s="276">
        <f t="shared" si="1"/>
        <v>0</v>
      </c>
      <c r="E57" s="276">
        <f t="shared" si="19"/>
        <v>0</v>
      </c>
      <c r="F57" s="283"/>
      <c r="G57" s="283"/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98">
        <f t="shared" si="4"/>
        <v>0</v>
      </c>
    </row>
    <row r="58" spans="1:18">
      <c r="A58" s="285" t="s">
        <v>424</v>
      </c>
      <c r="B58" s="286"/>
      <c r="C58" s="276">
        <f t="shared" si="0"/>
        <v>0</v>
      </c>
      <c r="D58" s="276">
        <f t="shared" si="1"/>
        <v>3263163.8299999796</v>
      </c>
      <c r="E58" s="276">
        <f t="shared" si="19"/>
        <v>2728788.6499999706</v>
      </c>
      <c r="F58" s="286">
        <f t="shared" ref="F58:Q58" si="23">F30+F43+F56+F57</f>
        <v>-2284846.8599999994</v>
      </c>
      <c r="G58" s="286">
        <f t="shared" si="23"/>
        <v>909251.22</v>
      </c>
      <c r="H58" s="286">
        <f t="shared" si="23"/>
        <v>1483201.2199999988</v>
      </c>
      <c r="I58" s="286">
        <f t="shared" si="23"/>
        <v>-1130758.3500000015</v>
      </c>
      <c r="J58" s="286">
        <f t="shared" si="23"/>
        <v>-1534429.1300000101</v>
      </c>
      <c r="K58" s="286">
        <f t="shared" si="23"/>
        <v>524583.1799999997</v>
      </c>
      <c r="L58" s="286">
        <f t="shared" si="23"/>
        <v>335069.40999999642</v>
      </c>
      <c r="M58" s="286">
        <f t="shared" si="23"/>
        <v>261660.52000000677</v>
      </c>
      <c r="N58" s="286">
        <f t="shared" si="23"/>
        <v>137858.39000000805</v>
      </c>
      <c r="O58" s="286">
        <f t="shared" si="23"/>
        <v>233865.49000000372</v>
      </c>
      <c r="P58" s="286">
        <f t="shared" si="23"/>
        <v>530169.72999998881</v>
      </c>
      <c r="Q58" s="286">
        <f t="shared" si="23"/>
        <v>3263163.8299999796</v>
      </c>
      <c r="R58" s="298">
        <f t="shared" si="4"/>
        <v>0</v>
      </c>
    </row>
    <row r="59" spans="1:18">
      <c r="A59" s="287" t="s">
        <v>425</v>
      </c>
      <c r="B59" s="286"/>
      <c r="C59" s="276">
        <f t="shared" si="0"/>
        <v>0</v>
      </c>
      <c r="D59" s="276">
        <f t="shared" si="1"/>
        <v>2877744.6899999916</v>
      </c>
      <c r="E59" s="276">
        <f>F59</f>
        <v>3412119.87</v>
      </c>
      <c r="F59" s="288">
        <v>3412119.87</v>
      </c>
      <c r="G59" s="286">
        <f t="shared" ref="G59:Q59" si="24">F60</f>
        <v>1127273.0100000007</v>
      </c>
      <c r="H59" s="286">
        <f t="shared" si="24"/>
        <v>2036524.2300000007</v>
      </c>
      <c r="I59" s="286">
        <f t="shared" si="24"/>
        <v>3519725.4499999993</v>
      </c>
      <c r="J59" s="286">
        <f t="shared" si="24"/>
        <v>2388967.0999999978</v>
      </c>
      <c r="K59" s="286">
        <f t="shared" si="24"/>
        <v>854537.96999998763</v>
      </c>
      <c r="L59" s="286">
        <f t="shared" si="24"/>
        <v>1379121.1499999873</v>
      </c>
      <c r="M59" s="286">
        <f t="shared" si="24"/>
        <v>1714190.5599999838</v>
      </c>
      <c r="N59" s="286">
        <f t="shared" si="24"/>
        <v>1975851.0799999905</v>
      </c>
      <c r="O59" s="286">
        <f t="shared" si="24"/>
        <v>2113709.4699999988</v>
      </c>
      <c r="P59" s="286">
        <f t="shared" si="24"/>
        <v>2347574.9600000028</v>
      </c>
      <c r="Q59" s="286">
        <f t="shared" si="24"/>
        <v>2877744.6899999916</v>
      </c>
      <c r="R59" s="298"/>
    </row>
    <row r="60" spans="1:18">
      <c r="A60" s="285" t="s">
        <v>426</v>
      </c>
      <c r="B60" s="276"/>
      <c r="C60" s="276">
        <f t="shared" si="0"/>
        <v>0</v>
      </c>
      <c r="D60" s="276">
        <f t="shared" si="1"/>
        <v>6140908.5199999716</v>
      </c>
      <c r="E60" s="276">
        <f>E59+E58</f>
        <v>6140908.5199999707</v>
      </c>
      <c r="F60" s="276">
        <f t="shared" ref="F60:Q60" si="25">F58+F59</f>
        <v>1127273.0100000007</v>
      </c>
      <c r="G60" s="276">
        <f t="shared" si="25"/>
        <v>2036524.2300000007</v>
      </c>
      <c r="H60" s="276">
        <f t="shared" si="25"/>
        <v>3519725.4499999993</v>
      </c>
      <c r="I60" s="276">
        <f t="shared" si="25"/>
        <v>2388967.0999999978</v>
      </c>
      <c r="J60" s="276">
        <f t="shared" si="25"/>
        <v>854537.96999998763</v>
      </c>
      <c r="K60" s="276">
        <f t="shared" si="25"/>
        <v>1379121.1499999873</v>
      </c>
      <c r="L60" s="276">
        <f t="shared" si="25"/>
        <v>1714190.5599999838</v>
      </c>
      <c r="M60" s="276">
        <f t="shared" si="25"/>
        <v>1975851.0799999905</v>
      </c>
      <c r="N60" s="276">
        <f t="shared" si="25"/>
        <v>2113709.4699999988</v>
      </c>
      <c r="O60" s="276">
        <f t="shared" si="25"/>
        <v>2347574.9600000028</v>
      </c>
      <c r="P60" s="276">
        <f t="shared" si="25"/>
        <v>2877744.6899999916</v>
      </c>
      <c r="Q60" s="276">
        <f t="shared" si="25"/>
        <v>6140908.5199999716</v>
      </c>
      <c r="R60" s="298"/>
    </row>
    <row r="61" spans="1:18">
      <c r="A61" s="289"/>
      <c r="B61" s="289"/>
      <c r="C61" s="289"/>
      <c r="D61" s="289"/>
      <c r="E61" s="210"/>
      <c r="F61" s="289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</row>
    <row r="62" spans="1:18" hidden="1" outlineLevel="1">
      <c r="A62" s="290" t="s">
        <v>427</v>
      </c>
      <c r="B62" s="290"/>
      <c r="C62" s="290"/>
      <c r="D62" s="290"/>
      <c r="E62" s="290" t="s">
        <v>272</v>
      </c>
      <c r="F62" s="69" t="s">
        <v>344</v>
      </c>
      <c r="G62" s="69" t="s">
        <v>345</v>
      </c>
      <c r="H62" s="69" t="s">
        <v>346</v>
      </c>
      <c r="I62" s="69" t="s">
        <v>347</v>
      </c>
      <c r="J62" s="69" t="s">
        <v>348</v>
      </c>
      <c r="K62" s="69" t="s">
        <v>349</v>
      </c>
      <c r="L62" s="69" t="s">
        <v>350</v>
      </c>
      <c r="M62" s="69" t="s">
        <v>351</v>
      </c>
      <c r="N62" s="69" t="s">
        <v>352</v>
      </c>
      <c r="O62" s="69" t="s">
        <v>353</v>
      </c>
      <c r="P62" s="69" t="s">
        <v>354</v>
      </c>
      <c r="Q62" s="69" t="s">
        <v>355</v>
      </c>
    </row>
    <row r="63" spans="1:18" hidden="1" outlineLevel="1">
      <c r="A63" s="291" t="s">
        <v>428</v>
      </c>
      <c r="B63" s="291"/>
      <c r="C63" s="291"/>
      <c r="D63" s="291"/>
      <c r="E63" s="292" t="s">
        <v>180</v>
      </c>
      <c r="F63" s="293" t="s">
        <v>180</v>
      </c>
      <c r="G63" s="293" t="s">
        <v>180</v>
      </c>
      <c r="H63" s="293" t="s">
        <v>180</v>
      </c>
      <c r="I63" s="293" t="s">
        <v>180</v>
      </c>
      <c r="J63" s="293" t="s">
        <v>180</v>
      </c>
      <c r="K63" s="293" t="s">
        <v>180</v>
      </c>
      <c r="L63" s="293" t="s">
        <v>180</v>
      </c>
      <c r="M63" s="293" t="s">
        <v>180</v>
      </c>
      <c r="N63" s="293" t="s">
        <v>180</v>
      </c>
      <c r="O63" s="293" t="s">
        <v>180</v>
      </c>
      <c r="P63" s="293" t="s">
        <v>180</v>
      </c>
      <c r="Q63" s="293" t="s">
        <v>180</v>
      </c>
      <c r="R63" s="88" t="s">
        <v>285</v>
      </c>
    </row>
    <row r="64" spans="1:18" hidden="1" outlineLevel="1">
      <c r="A64" s="294" t="s">
        <v>429</v>
      </c>
      <c r="B64" s="294"/>
      <c r="C64" s="294"/>
      <c r="D64" s="294"/>
      <c r="E64" s="295">
        <f t="shared" ref="E64:E80" si="26">SUM(F64:Q64)</f>
        <v>-12469948.229999999</v>
      </c>
      <c r="F64" s="296">
        <f>'2 利润表'!F37</f>
        <v>-1338719.2999999998</v>
      </c>
      <c r="G64" s="296">
        <f>'2 利润表'!G37</f>
        <v>-426132.19</v>
      </c>
      <c r="H64" s="296">
        <f>'2 利润表'!H37</f>
        <v>-1284031.1599999999</v>
      </c>
      <c r="I64" s="296">
        <f>'2 利润表'!I37</f>
        <v>-571761.16</v>
      </c>
      <c r="J64" s="296">
        <f>'2 利润表'!J37</f>
        <v>-378918.29000000004</v>
      </c>
      <c r="K64" s="296">
        <f>'2 利润表'!K37</f>
        <v>-4600863.99</v>
      </c>
      <c r="L64" s="296">
        <f>'2 利润表'!L37</f>
        <v>-496636.25</v>
      </c>
      <c r="M64" s="296">
        <f>'2 利润表'!M37</f>
        <v>-580918.84999999974</v>
      </c>
      <c r="N64" s="296">
        <f>'2 利润表'!N37</f>
        <v>-2153949.8699999992</v>
      </c>
      <c r="O64" s="296">
        <f>'2 利润表'!O37</f>
        <v>-20240.080000000162</v>
      </c>
      <c r="P64" s="296">
        <f>'2 利润表'!P37</f>
        <v>-159161.03</v>
      </c>
      <c r="Q64" s="296">
        <f>'2 利润表'!Q37</f>
        <v>-458616.06000000017</v>
      </c>
      <c r="R64" s="299">
        <f t="shared" ref="R64:R80" si="27">ROUND(E64-SUM(F64:Q64),2)</f>
        <v>0</v>
      </c>
    </row>
    <row r="65" spans="1:18" hidden="1" outlineLevel="1">
      <c r="A65" s="294" t="s">
        <v>430</v>
      </c>
      <c r="B65" s="294"/>
      <c r="C65" s="294"/>
      <c r="D65" s="294"/>
      <c r="E65" s="295">
        <f t="shared" si="26"/>
        <v>0</v>
      </c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299">
        <f t="shared" si="27"/>
        <v>0</v>
      </c>
    </row>
    <row r="66" spans="1:18" ht="22.5" hidden="1" outlineLevel="1">
      <c r="A66" s="301" t="s">
        <v>431</v>
      </c>
      <c r="B66" s="301"/>
      <c r="C66" s="301"/>
      <c r="D66" s="301"/>
      <c r="E66" s="295">
        <f t="shared" si="26"/>
        <v>0</v>
      </c>
      <c r="F66" s="302"/>
      <c r="G66" s="300"/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299">
        <f t="shared" si="27"/>
        <v>0</v>
      </c>
    </row>
    <row r="67" spans="1:18" hidden="1" outlineLevel="1">
      <c r="A67" s="294" t="s">
        <v>432</v>
      </c>
      <c r="B67" s="294"/>
      <c r="C67" s="294"/>
      <c r="D67" s="294"/>
      <c r="E67" s="295">
        <f t="shared" si="26"/>
        <v>0</v>
      </c>
      <c r="F67" s="302"/>
      <c r="G67" s="300"/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299">
        <f t="shared" si="27"/>
        <v>0</v>
      </c>
    </row>
    <row r="68" spans="1:18" hidden="1" outlineLevel="1">
      <c r="A68" s="294" t="s">
        <v>433</v>
      </c>
      <c r="B68" s="294"/>
      <c r="C68" s="294"/>
      <c r="D68" s="294"/>
      <c r="E68" s="295">
        <f t="shared" si="26"/>
        <v>0</v>
      </c>
      <c r="F68" s="302"/>
      <c r="G68" s="300"/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299">
        <f t="shared" si="27"/>
        <v>0</v>
      </c>
    </row>
    <row r="69" spans="1:18" ht="23.25" hidden="1" outlineLevel="1">
      <c r="A69" s="301" t="s">
        <v>434</v>
      </c>
      <c r="B69" s="301"/>
      <c r="C69" s="301"/>
      <c r="D69" s="301"/>
      <c r="E69" s="295">
        <f t="shared" si="26"/>
        <v>0</v>
      </c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299">
        <f t="shared" si="27"/>
        <v>0</v>
      </c>
    </row>
    <row r="70" spans="1:18" hidden="1" outlineLevel="1">
      <c r="A70" s="294" t="s">
        <v>435</v>
      </c>
      <c r="B70" s="294"/>
      <c r="C70" s="294"/>
      <c r="D70" s="294"/>
      <c r="E70" s="295">
        <f t="shared" si="26"/>
        <v>0</v>
      </c>
      <c r="F70" s="300"/>
      <c r="G70" s="300"/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299">
        <f t="shared" si="27"/>
        <v>0</v>
      </c>
    </row>
    <row r="71" spans="1:18" hidden="1" outlineLevel="1">
      <c r="A71" s="294" t="s">
        <v>436</v>
      </c>
      <c r="B71" s="294"/>
      <c r="C71" s="294"/>
      <c r="D71" s="294"/>
      <c r="E71" s="295">
        <f t="shared" si="26"/>
        <v>0</v>
      </c>
      <c r="F71" s="300"/>
      <c r="G71" s="300"/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299">
        <f t="shared" si="27"/>
        <v>0</v>
      </c>
    </row>
    <row r="72" spans="1:18" hidden="1" outlineLevel="1">
      <c r="A72" s="294" t="s">
        <v>437</v>
      </c>
      <c r="B72" s="294"/>
      <c r="C72" s="294"/>
      <c r="D72" s="294"/>
      <c r="E72" s="295">
        <f t="shared" si="26"/>
        <v>0</v>
      </c>
      <c r="F72" s="300"/>
      <c r="G72" s="300"/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299">
        <f t="shared" si="27"/>
        <v>0</v>
      </c>
    </row>
    <row r="73" spans="1:18" hidden="1" outlineLevel="1">
      <c r="A73" s="294" t="s">
        <v>438</v>
      </c>
      <c r="B73" s="294"/>
      <c r="C73" s="294"/>
      <c r="D73" s="294"/>
      <c r="E73" s="295">
        <f t="shared" si="26"/>
        <v>0</v>
      </c>
      <c r="F73" s="300"/>
      <c r="G73" s="300"/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299">
        <f t="shared" si="27"/>
        <v>0</v>
      </c>
    </row>
    <row r="74" spans="1:18" hidden="1" outlineLevel="1">
      <c r="A74" s="294" t="s">
        <v>439</v>
      </c>
      <c r="B74" s="294"/>
      <c r="C74" s="294"/>
      <c r="D74" s="294"/>
      <c r="E74" s="295">
        <f t="shared" si="26"/>
        <v>0</v>
      </c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299">
        <f t="shared" si="27"/>
        <v>0</v>
      </c>
    </row>
    <row r="75" spans="1:18" hidden="1" outlineLevel="1">
      <c r="A75" s="294" t="s">
        <v>440</v>
      </c>
      <c r="B75" s="294"/>
      <c r="C75" s="294"/>
      <c r="D75" s="294"/>
      <c r="E75" s="295">
        <f t="shared" si="26"/>
        <v>0</v>
      </c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299">
        <f t="shared" si="27"/>
        <v>0</v>
      </c>
    </row>
    <row r="76" spans="1:18" hidden="1" outlineLevel="1">
      <c r="A76" s="294" t="s">
        <v>441</v>
      </c>
      <c r="B76" s="294"/>
      <c r="C76" s="294"/>
      <c r="D76" s="294"/>
      <c r="E76" s="295">
        <f t="shared" si="26"/>
        <v>0</v>
      </c>
      <c r="F76" s="300"/>
      <c r="G76" s="300"/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299">
        <f t="shared" si="27"/>
        <v>0</v>
      </c>
    </row>
    <row r="77" spans="1:18" hidden="1" outlineLevel="1">
      <c r="A77" s="294" t="s">
        <v>442</v>
      </c>
      <c r="B77" s="294"/>
      <c r="C77" s="294"/>
      <c r="D77" s="294"/>
      <c r="E77" s="295">
        <f t="shared" si="26"/>
        <v>0</v>
      </c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299">
        <f t="shared" si="27"/>
        <v>0</v>
      </c>
    </row>
    <row r="78" spans="1:18" hidden="1" outlineLevel="1">
      <c r="A78" s="294" t="s">
        <v>443</v>
      </c>
      <c r="B78" s="294"/>
      <c r="C78" s="294"/>
      <c r="D78" s="294"/>
      <c r="E78" s="295">
        <f t="shared" si="26"/>
        <v>0</v>
      </c>
      <c r="F78" s="300"/>
      <c r="G78" s="300"/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299">
        <f t="shared" si="27"/>
        <v>0</v>
      </c>
    </row>
    <row r="79" spans="1:18" hidden="1" outlineLevel="1">
      <c r="A79" s="294" t="s">
        <v>444</v>
      </c>
      <c r="B79" s="294"/>
      <c r="C79" s="294"/>
      <c r="D79" s="294"/>
      <c r="E79" s="295">
        <f t="shared" si="26"/>
        <v>0</v>
      </c>
      <c r="F79" s="300"/>
      <c r="G79" s="300"/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299">
        <f t="shared" si="27"/>
        <v>0</v>
      </c>
    </row>
    <row r="80" spans="1:18" hidden="1" outlineLevel="1">
      <c r="A80" s="303" t="s">
        <v>445</v>
      </c>
      <c r="B80" s="303"/>
      <c r="C80" s="303"/>
      <c r="D80" s="303"/>
      <c r="E80" s="295">
        <f t="shared" si="26"/>
        <v>-12469948.229999999</v>
      </c>
      <c r="F80" s="295">
        <f t="shared" ref="F80:Q80" si="28">SUM(F64:F79)</f>
        <v>-1338719.2999999998</v>
      </c>
      <c r="G80" s="295">
        <f t="shared" si="28"/>
        <v>-426132.19</v>
      </c>
      <c r="H80" s="295">
        <f t="shared" si="28"/>
        <v>-1284031.1599999999</v>
      </c>
      <c r="I80" s="295">
        <f t="shared" si="28"/>
        <v>-571761.16</v>
      </c>
      <c r="J80" s="295">
        <f t="shared" si="28"/>
        <v>-378918.29000000004</v>
      </c>
      <c r="K80" s="295">
        <f t="shared" si="28"/>
        <v>-4600863.99</v>
      </c>
      <c r="L80" s="295">
        <f t="shared" si="28"/>
        <v>-496636.25</v>
      </c>
      <c r="M80" s="295">
        <f t="shared" si="28"/>
        <v>-580918.84999999974</v>
      </c>
      <c r="N80" s="295">
        <f t="shared" si="28"/>
        <v>-2153949.8699999992</v>
      </c>
      <c r="O80" s="295">
        <f t="shared" si="28"/>
        <v>-20240.080000000162</v>
      </c>
      <c r="P80" s="295">
        <f t="shared" si="28"/>
        <v>-159161.03</v>
      </c>
      <c r="Q80" s="295">
        <f t="shared" si="28"/>
        <v>-458616.06000000017</v>
      </c>
      <c r="R80" s="299">
        <f t="shared" si="27"/>
        <v>0</v>
      </c>
    </row>
    <row r="81" spans="1:18" hidden="1" outlineLevel="1">
      <c r="A81" s="291" t="s">
        <v>446</v>
      </c>
      <c r="B81" s="291"/>
      <c r="C81" s="291"/>
      <c r="D81" s="291"/>
      <c r="E81" s="304" t="s">
        <v>180</v>
      </c>
      <c r="F81" s="305" t="s">
        <v>180</v>
      </c>
      <c r="G81" s="305" t="s">
        <v>180</v>
      </c>
      <c r="H81" s="305" t="s">
        <v>180</v>
      </c>
      <c r="I81" s="305" t="s">
        <v>180</v>
      </c>
      <c r="J81" s="305" t="s">
        <v>180</v>
      </c>
      <c r="K81" s="305" t="s">
        <v>180</v>
      </c>
      <c r="L81" s="305" t="s">
        <v>180</v>
      </c>
      <c r="M81" s="305" t="s">
        <v>180</v>
      </c>
      <c r="N81" s="305" t="s">
        <v>180</v>
      </c>
      <c r="O81" s="305" t="s">
        <v>180</v>
      </c>
      <c r="P81" s="305" t="s">
        <v>180</v>
      </c>
      <c r="Q81" s="305" t="s">
        <v>180</v>
      </c>
    </row>
    <row r="82" spans="1:18" hidden="1" outlineLevel="1">
      <c r="A82" s="294" t="s">
        <v>447</v>
      </c>
      <c r="B82" s="294"/>
      <c r="C82" s="294"/>
      <c r="D82" s="294"/>
      <c r="E82" s="295">
        <f>SUM(F82:Q82)</f>
        <v>0</v>
      </c>
      <c r="F82" s="300"/>
      <c r="G82" s="300"/>
      <c r="H82" s="300"/>
      <c r="I82" s="300"/>
      <c r="J82" s="300"/>
      <c r="K82" s="300"/>
      <c r="L82" s="300"/>
      <c r="M82" s="300"/>
      <c r="N82" s="300"/>
      <c r="O82" s="300"/>
      <c r="P82" s="300"/>
      <c r="Q82" s="300"/>
    </row>
    <row r="83" spans="1:18" hidden="1" outlineLevel="1">
      <c r="A83" s="294" t="s">
        <v>448</v>
      </c>
      <c r="B83" s="294"/>
      <c r="C83" s="294"/>
      <c r="D83" s="294"/>
      <c r="E83" s="295">
        <f>SUM(F83:Q83)</f>
        <v>0</v>
      </c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</row>
    <row r="84" spans="1:18" hidden="1" outlineLevel="1">
      <c r="A84" s="294" t="s">
        <v>449</v>
      </c>
      <c r="B84" s="294"/>
      <c r="C84" s="294"/>
      <c r="D84" s="294"/>
      <c r="E84" s="295">
        <f>SUM(F84:Q84)</f>
        <v>0</v>
      </c>
      <c r="F84" s="300"/>
      <c r="G84" s="300"/>
      <c r="H84" s="300"/>
      <c r="I84" s="300"/>
      <c r="J84" s="300"/>
      <c r="K84" s="300"/>
      <c r="L84" s="300"/>
      <c r="M84" s="300"/>
      <c r="N84" s="300"/>
      <c r="O84" s="300"/>
      <c r="P84" s="300"/>
      <c r="Q84" s="300"/>
    </row>
    <row r="85" spans="1:18" hidden="1" outlineLevel="1">
      <c r="A85" s="291" t="s">
        <v>450</v>
      </c>
      <c r="B85" s="291"/>
      <c r="C85" s="291"/>
      <c r="D85" s="291"/>
      <c r="E85" s="304" t="s">
        <v>180</v>
      </c>
      <c r="F85" s="305" t="s">
        <v>180</v>
      </c>
      <c r="G85" s="305" t="s">
        <v>180</v>
      </c>
      <c r="H85" s="305" t="s">
        <v>180</v>
      </c>
      <c r="I85" s="305" t="s">
        <v>180</v>
      </c>
      <c r="J85" s="305" t="s">
        <v>180</v>
      </c>
      <c r="K85" s="305" t="s">
        <v>180</v>
      </c>
      <c r="L85" s="305" t="s">
        <v>180</v>
      </c>
      <c r="M85" s="305" t="s">
        <v>180</v>
      </c>
      <c r="N85" s="305" t="s">
        <v>180</v>
      </c>
      <c r="O85" s="305" t="s">
        <v>180</v>
      </c>
      <c r="P85" s="305" t="s">
        <v>180</v>
      </c>
      <c r="Q85" s="305" t="s">
        <v>180</v>
      </c>
    </row>
    <row r="86" spans="1:18" hidden="1" outlineLevel="1">
      <c r="A86" s="294" t="s">
        <v>451</v>
      </c>
      <c r="B86" s="294"/>
      <c r="C86" s="294"/>
      <c r="D86" s="294"/>
      <c r="E86" s="295">
        <f>'3 现金流量表'!E60</f>
        <v>6140908.5199999707</v>
      </c>
      <c r="F86" s="296">
        <f>'3 现金流量表'!F60</f>
        <v>1127273.0100000007</v>
      </c>
      <c r="G86" s="296">
        <f>'3 现金流量表'!G60</f>
        <v>2036524.2300000007</v>
      </c>
      <c r="H86" s="296">
        <f>'3 现金流量表'!H60</f>
        <v>3519725.4499999993</v>
      </c>
      <c r="I86" s="296">
        <f>'3 现金流量表'!I60</f>
        <v>2388967.0999999978</v>
      </c>
      <c r="J86" s="296">
        <f>'3 现金流量表'!J60</f>
        <v>854537.96999998763</v>
      </c>
      <c r="K86" s="296">
        <f>'3 现金流量表'!K60</f>
        <v>1379121.1499999873</v>
      </c>
      <c r="L86" s="296">
        <f>'3 现金流量表'!L60</f>
        <v>1714190.5599999838</v>
      </c>
      <c r="M86" s="296">
        <f>'3 现金流量表'!M60</f>
        <v>1975851.0799999905</v>
      </c>
      <c r="N86" s="296">
        <f>'3 现金流量表'!N60</f>
        <v>2113709.4699999988</v>
      </c>
      <c r="O86" s="296">
        <f>'3 现金流量表'!O60</f>
        <v>2347574.9600000028</v>
      </c>
      <c r="P86" s="296">
        <f>'3 现金流量表'!P60</f>
        <v>2877744.6899999916</v>
      </c>
      <c r="Q86" s="296">
        <f>'3 现金流量表'!Q60</f>
        <v>6140908.5199999716</v>
      </c>
    </row>
    <row r="87" spans="1:18" hidden="1" outlineLevel="1">
      <c r="A87" s="294" t="s">
        <v>452</v>
      </c>
      <c r="B87" s="294"/>
      <c r="C87" s="294"/>
      <c r="D87" s="294"/>
      <c r="E87" s="295">
        <f>F87</f>
        <v>3412119.87</v>
      </c>
      <c r="F87" s="296">
        <f>'3 现金流量表'!F59</f>
        <v>3412119.87</v>
      </c>
      <c r="G87" s="296">
        <f>'3 现金流量表'!G59</f>
        <v>1127273.0100000007</v>
      </c>
      <c r="H87" s="296">
        <f>'3 现金流量表'!H59</f>
        <v>2036524.2300000007</v>
      </c>
      <c r="I87" s="296">
        <f>'3 现金流量表'!I59</f>
        <v>3519725.4499999993</v>
      </c>
      <c r="J87" s="296">
        <f>'3 现金流量表'!J59</f>
        <v>2388967.0999999978</v>
      </c>
      <c r="K87" s="296">
        <f>'3 现金流量表'!K59</f>
        <v>854537.96999998763</v>
      </c>
      <c r="L87" s="296">
        <f>'3 现金流量表'!L59</f>
        <v>1379121.1499999873</v>
      </c>
      <c r="M87" s="296">
        <f>'3 现金流量表'!M59</f>
        <v>1714190.5599999838</v>
      </c>
      <c r="N87" s="296">
        <f>'3 现金流量表'!N59</f>
        <v>1975851.0799999905</v>
      </c>
      <c r="O87" s="296">
        <f>'3 现金流量表'!O59</f>
        <v>2113709.4699999988</v>
      </c>
      <c r="P87" s="296">
        <f>'3 现金流量表'!P59</f>
        <v>2347574.9600000028</v>
      </c>
      <c r="Q87" s="296">
        <f>'3 现金流量表'!Q59</f>
        <v>2877744.6899999916</v>
      </c>
    </row>
    <row r="88" spans="1:18" hidden="1" outlineLevel="1">
      <c r="A88" s="294" t="s">
        <v>453</v>
      </c>
      <c r="B88" s="294"/>
      <c r="C88" s="294"/>
      <c r="D88" s="294"/>
      <c r="E88" s="295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</row>
    <row r="89" spans="1:18" hidden="1" outlineLevel="1">
      <c r="A89" s="294" t="s">
        <v>454</v>
      </c>
      <c r="B89" s="294"/>
      <c r="C89" s="294"/>
      <c r="D89" s="294"/>
      <c r="E89" s="295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</row>
    <row r="90" spans="1:18" hidden="1" outlineLevel="1">
      <c r="A90" s="294" t="s">
        <v>455</v>
      </c>
      <c r="B90" s="294"/>
      <c r="C90" s="294"/>
      <c r="D90" s="294"/>
      <c r="E90" s="295">
        <f t="shared" ref="E90:Q90" si="29">E86-E87+E88-E89</f>
        <v>2728788.6499999706</v>
      </c>
      <c r="F90" s="296">
        <f t="shared" si="29"/>
        <v>-2284846.8599999994</v>
      </c>
      <c r="G90" s="296">
        <f t="shared" si="29"/>
        <v>909251.22</v>
      </c>
      <c r="H90" s="296">
        <f t="shared" si="29"/>
        <v>1483201.2199999986</v>
      </c>
      <c r="I90" s="296">
        <f t="shared" si="29"/>
        <v>-1130758.3500000015</v>
      </c>
      <c r="J90" s="296">
        <f t="shared" si="29"/>
        <v>-1534429.1300000101</v>
      </c>
      <c r="K90" s="296">
        <f t="shared" si="29"/>
        <v>524583.1799999997</v>
      </c>
      <c r="L90" s="296">
        <f t="shared" si="29"/>
        <v>335069.40999999642</v>
      </c>
      <c r="M90" s="296">
        <f t="shared" si="29"/>
        <v>261660.52000000677</v>
      </c>
      <c r="N90" s="296">
        <f t="shared" si="29"/>
        <v>137858.39000000828</v>
      </c>
      <c r="O90" s="296">
        <f t="shared" si="29"/>
        <v>233865.49000000395</v>
      </c>
      <c r="P90" s="296">
        <f t="shared" si="29"/>
        <v>530169.72999998881</v>
      </c>
      <c r="Q90" s="296">
        <f t="shared" si="29"/>
        <v>3263163.8299999801</v>
      </c>
      <c r="R90" s="299">
        <f>ROUND(E90-SUM(F90:Q90),2)</f>
        <v>0</v>
      </c>
    </row>
    <row r="91" spans="1:18" hidden="1" outlineLevel="1">
      <c r="A91" s="294" t="s">
        <v>456</v>
      </c>
      <c r="B91" s="294"/>
      <c r="C91" s="294"/>
      <c r="D91" s="294"/>
      <c r="E91" s="295"/>
      <c r="F91" s="300"/>
      <c r="G91" s="300"/>
      <c r="H91" s="300"/>
      <c r="I91" s="300"/>
      <c r="J91" s="300"/>
      <c r="K91" s="300"/>
      <c r="L91" s="300"/>
      <c r="M91" s="300"/>
      <c r="N91" s="300"/>
      <c r="O91" s="300"/>
      <c r="P91" s="300"/>
      <c r="Q91" s="300"/>
    </row>
    <row r="92" spans="1:18" hidden="1" outlineLevel="1">
      <c r="A92" s="306"/>
      <c r="B92" s="306"/>
      <c r="C92" s="306"/>
      <c r="D92" s="306"/>
      <c r="E92" s="307"/>
      <c r="F92" s="306"/>
    </row>
    <row r="93" spans="1:18" collapsed="1">
      <c r="A93" s="308" t="s">
        <v>457</v>
      </c>
      <c r="B93" s="308"/>
      <c r="C93" s="308"/>
      <c r="D93" s="308"/>
      <c r="E93" s="210"/>
      <c r="F93" s="289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</row>
    <row r="94" spans="1:18">
      <c r="A94" s="211" t="s">
        <v>458</v>
      </c>
      <c r="B94" s="211"/>
      <c r="C94" s="211"/>
      <c r="D94" s="213">
        <f t="shared" ref="D94" si="30">ROUND(D15-D14-D13-D7,2)</f>
        <v>0</v>
      </c>
      <c r="E94" s="213">
        <f t="shared" ref="E94:Q94" si="31">ROUND(E15-E14-E13-E7,2)</f>
        <v>0</v>
      </c>
      <c r="F94" s="213">
        <f t="shared" si="31"/>
        <v>0</v>
      </c>
      <c r="G94" s="213">
        <f t="shared" si="31"/>
        <v>0</v>
      </c>
      <c r="H94" s="213">
        <f t="shared" si="31"/>
        <v>0</v>
      </c>
      <c r="I94" s="213">
        <f t="shared" si="31"/>
        <v>0</v>
      </c>
      <c r="J94" s="213">
        <f t="shared" si="31"/>
        <v>0</v>
      </c>
      <c r="K94" s="213">
        <f t="shared" si="31"/>
        <v>0</v>
      </c>
      <c r="L94" s="213">
        <f t="shared" si="31"/>
        <v>0</v>
      </c>
      <c r="M94" s="213">
        <f t="shared" si="31"/>
        <v>0</v>
      </c>
      <c r="N94" s="213">
        <f t="shared" si="31"/>
        <v>0</v>
      </c>
      <c r="O94" s="213">
        <f t="shared" si="31"/>
        <v>0</v>
      </c>
      <c r="P94" s="213">
        <f t="shared" si="31"/>
        <v>0</v>
      </c>
      <c r="Q94" s="213">
        <f t="shared" si="31"/>
        <v>0</v>
      </c>
    </row>
    <row r="95" spans="1:18">
      <c r="A95" s="211" t="s">
        <v>459</v>
      </c>
      <c r="B95" s="211"/>
      <c r="C95" s="211"/>
      <c r="D95" s="213">
        <f t="shared" ref="D95" si="32">ROUND(D29-D16-D26-D27-D28,2)</f>
        <v>0</v>
      </c>
      <c r="E95" s="213">
        <f t="shared" ref="E95:Q95" si="33">ROUND(E29-E16-E26-E27-E28,2)</f>
        <v>0</v>
      </c>
      <c r="F95" s="213">
        <f t="shared" si="33"/>
        <v>0</v>
      </c>
      <c r="G95" s="213">
        <f t="shared" si="33"/>
        <v>0</v>
      </c>
      <c r="H95" s="213">
        <f t="shared" si="33"/>
        <v>0</v>
      </c>
      <c r="I95" s="213">
        <f t="shared" si="33"/>
        <v>0</v>
      </c>
      <c r="J95" s="213">
        <f t="shared" si="33"/>
        <v>0</v>
      </c>
      <c r="K95" s="213">
        <f t="shared" si="33"/>
        <v>0</v>
      </c>
      <c r="L95" s="213">
        <f t="shared" si="33"/>
        <v>0</v>
      </c>
      <c r="M95" s="213">
        <f t="shared" si="33"/>
        <v>0</v>
      </c>
      <c r="N95" s="213">
        <f t="shared" si="33"/>
        <v>0</v>
      </c>
      <c r="O95" s="213">
        <f t="shared" si="33"/>
        <v>0</v>
      </c>
      <c r="P95" s="213">
        <f t="shared" si="33"/>
        <v>0</v>
      </c>
      <c r="Q95" s="213">
        <f t="shared" si="33"/>
        <v>0</v>
      </c>
    </row>
    <row r="96" spans="1:18">
      <c r="A96" s="211" t="s">
        <v>460</v>
      </c>
      <c r="B96" s="211"/>
      <c r="C96" s="211"/>
      <c r="D96" s="213">
        <f t="shared" ref="D96" si="34">ROUND(D15-D29-D30,2)</f>
        <v>0</v>
      </c>
      <c r="E96" s="213">
        <f t="shared" ref="E96:Q96" si="35">ROUND(E15-E29-E30,2)</f>
        <v>0</v>
      </c>
      <c r="F96" s="213">
        <f t="shared" si="35"/>
        <v>0</v>
      </c>
      <c r="G96" s="213">
        <f t="shared" si="35"/>
        <v>0</v>
      </c>
      <c r="H96" s="213">
        <f t="shared" si="35"/>
        <v>0</v>
      </c>
      <c r="I96" s="213">
        <f t="shared" si="35"/>
        <v>0</v>
      </c>
      <c r="J96" s="213">
        <f t="shared" si="35"/>
        <v>0</v>
      </c>
      <c r="K96" s="213">
        <f t="shared" si="35"/>
        <v>0</v>
      </c>
      <c r="L96" s="213">
        <f t="shared" si="35"/>
        <v>0</v>
      </c>
      <c r="M96" s="213">
        <f t="shared" si="35"/>
        <v>0</v>
      </c>
      <c r="N96" s="213">
        <f t="shared" si="35"/>
        <v>0</v>
      </c>
      <c r="O96" s="213">
        <f t="shared" si="35"/>
        <v>0</v>
      </c>
      <c r="P96" s="213">
        <f t="shared" si="35"/>
        <v>0</v>
      </c>
      <c r="Q96" s="213">
        <f t="shared" si="35"/>
        <v>0</v>
      </c>
    </row>
    <row r="97" spans="1:17">
      <c r="A97" s="211" t="s">
        <v>461</v>
      </c>
      <c r="B97" s="211"/>
      <c r="C97" s="211"/>
      <c r="D97" s="217">
        <f>IF(D7&gt;=(D8+D9+D10+D11+D12),0,1)</f>
        <v>0</v>
      </c>
      <c r="E97" s="217">
        <f t="shared" ref="E97:Q97" si="36">IF(E7&gt;=(E8+E9+E10+E11+E12),0,1)</f>
        <v>0</v>
      </c>
      <c r="F97" s="217">
        <f t="shared" si="36"/>
        <v>0</v>
      </c>
      <c r="G97" s="217">
        <f t="shared" si="36"/>
        <v>0</v>
      </c>
      <c r="H97" s="217">
        <f t="shared" si="36"/>
        <v>0</v>
      </c>
      <c r="I97" s="217">
        <f t="shared" si="36"/>
        <v>0</v>
      </c>
      <c r="J97" s="217">
        <f t="shared" si="36"/>
        <v>0</v>
      </c>
      <c r="K97" s="217">
        <f t="shared" si="36"/>
        <v>0</v>
      </c>
      <c r="L97" s="217">
        <f t="shared" si="36"/>
        <v>0</v>
      </c>
      <c r="M97" s="217">
        <f t="shared" si="36"/>
        <v>0</v>
      </c>
      <c r="N97" s="217">
        <f t="shared" si="36"/>
        <v>0</v>
      </c>
      <c r="O97" s="217">
        <f t="shared" si="36"/>
        <v>0</v>
      </c>
      <c r="P97" s="217">
        <f t="shared" si="36"/>
        <v>0</v>
      </c>
      <c r="Q97" s="217">
        <f t="shared" si="36"/>
        <v>0</v>
      </c>
    </row>
    <row r="98" spans="1:17">
      <c r="A98" s="211" t="s">
        <v>462</v>
      </c>
      <c r="B98" s="211"/>
      <c r="C98" s="211"/>
      <c r="D98" s="217">
        <f>IF(D16&gt;=SUM(D17:D25),0,1)</f>
        <v>0</v>
      </c>
      <c r="E98" s="217">
        <f t="shared" ref="E98:Q98" si="37">IF(E16&gt;=SUM(E17:E25),0,1)</f>
        <v>0</v>
      </c>
      <c r="F98" s="217">
        <f t="shared" si="37"/>
        <v>0</v>
      </c>
      <c r="G98" s="217">
        <f t="shared" si="37"/>
        <v>0</v>
      </c>
      <c r="H98" s="217">
        <f t="shared" si="37"/>
        <v>0</v>
      </c>
      <c r="I98" s="217">
        <f t="shared" si="37"/>
        <v>0</v>
      </c>
      <c r="J98" s="217">
        <f t="shared" si="37"/>
        <v>0</v>
      </c>
      <c r="K98" s="217">
        <f t="shared" si="37"/>
        <v>0</v>
      </c>
      <c r="L98" s="217">
        <f t="shared" si="37"/>
        <v>0</v>
      </c>
      <c r="M98" s="217">
        <f t="shared" si="37"/>
        <v>0</v>
      </c>
      <c r="N98" s="217">
        <f t="shared" si="37"/>
        <v>0</v>
      </c>
      <c r="O98" s="217">
        <f t="shared" si="37"/>
        <v>0</v>
      </c>
      <c r="P98" s="217">
        <f t="shared" si="37"/>
        <v>0</v>
      </c>
      <c r="Q98" s="217">
        <f t="shared" si="37"/>
        <v>0</v>
      </c>
    </row>
    <row r="99" spans="1:17">
      <c r="A99" s="211" t="s">
        <v>463</v>
      </c>
      <c r="B99" s="211"/>
      <c r="C99" s="211"/>
      <c r="D99" s="213">
        <f t="shared" ref="D99" si="38">ROUND(D37-D36-D35-D34-D33-D32,2)</f>
        <v>0</v>
      </c>
      <c r="E99" s="213">
        <f t="shared" ref="E99:Q99" si="39">ROUND(E37-E36-E35-E34-E33-E32,2)</f>
        <v>0</v>
      </c>
      <c r="F99" s="213">
        <f t="shared" si="39"/>
        <v>0</v>
      </c>
      <c r="G99" s="213">
        <f t="shared" si="39"/>
        <v>0</v>
      </c>
      <c r="H99" s="213">
        <f t="shared" si="39"/>
        <v>0</v>
      </c>
      <c r="I99" s="213">
        <f t="shared" si="39"/>
        <v>0</v>
      </c>
      <c r="J99" s="213">
        <f t="shared" si="39"/>
        <v>0</v>
      </c>
      <c r="K99" s="213">
        <f t="shared" si="39"/>
        <v>0</v>
      </c>
      <c r="L99" s="213">
        <f t="shared" si="39"/>
        <v>0</v>
      </c>
      <c r="M99" s="213">
        <f t="shared" si="39"/>
        <v>0</v>
      </c>
      <c r="N99" s="213">
        <f t="shared" si="39"/>
        <v>0</v>
      </c>
      <c r="O99" s="213">
        <f t="shared" si="39"/>
        <v>0</v>
      </c>
      <c r="P99" s="213">
        <f t="shared" si="39"/>
        <v>0</v>
      </c>
      <c r="Q99" s="213">
        <f t="shared" si="39"/>
        <v>0</v>
      </c>
    </row>
    <row r="100" spans="1:17">
      <c r="A100" s="211" t="s">
        <v>464</v>
      </c>
      <c r="B100" s="211"/>
      <c r="C100" s="211"/>
      <c r="D100" s="213">
        <f>ROUND(D42-D41-D40-D39-D38,2)</f>
        <v>0</v>
      </c>
      <c r="E100" s="213">
        <f>ROUND(E42-E41-E40-E39-E38,2)</f>
        <v>0</v>
      </c>
      <c r="F100" s="213">
        <f t="shared" ref="F100:Q100" si="40">ROUND(F42-F41-F40-F39-F38,2)</f>
        <v>0</v>
      </c>
      <c r="G100" s="213">
        <f t="shared" si="40"/>
        <v>0</v>
      </c>
      <c r="H100" s="213">
        <f t="shared" si="40"/>
        <v>0</v>
      </c>
      <c r="I100" s="213">
        <f t="shared" si="40"/>
        <v>0</v>
      </c>
      <c r="J100" s="213">
        <f t="shared" si="40"/>
        <v>0</v>
      </c>
      <c r="K100" s="213">
        <f t="shared" si="40"/>
        <v>0</v>
      </c>
      <c r="L100" s="213">
        <f t="shared" si="40"/>
        <v>0</v>
      </c>
      <c r="M100" s="213">
        <f t="shared" si="40"/>
        <v>0</v>
      </c>
      <c r="N100" s="213">
        <f t="shared" si="40"/>
        <v>0</v>
      </c>
      <c r="O100" s="213">
        <f t="shared" si="40"/>
        <v>0</v>
      </c>
      <c r="P100" s="213">
        <f t="shared" si="40"/>
        <v>0</v>
      </c>
      <c r="Q100" s="213">
        <f t="shared" si="40"/>
        <v>0</v>
      </c>
    </row>
    <row r="101" spans="1:17">
      <c r="A101" s="211" t="s">
        <v>465</v>
      </c>
      <c r="B101" s="211"/>
      <c r="C101" s="211"/>
      <c r="D101" s="213">
        <f t="shared" ref="D101" si="41">ROUND(D37-D42-D43,2)</f>
        <v>0</v>
      </c>
      <c r="E101" s="213">
        <f t="shared" ref="E101:Q101" si="42">ROUND(E37-E42-E43,2)</f>
        <v>0</v>
      </c>
      <c r="F101" s="213">
        <f t="shared" si="42"/>
        <v>0</v>
      </c>
      <c r="G101" s="213">
        <f t="shared" si="42"/>
        <v>0</v>
      </c>
      <c r="H101" s="213">
        <f t="shared" si="42"/>
        <v>0</v>
      </c>
      <c r="I101" s="213">
        <f t="shared" si="42"/>
        <v>0</v>
      </c>
      <c r="J101" s="213">
        <f t="shared" si="42"/>
        <v>0</v>
      </c>
      <c r="K101" s="213">
        <f t="shared" si="42"/>
        <v>0</v>
      </c>
      <c r="L101" s="213">
        <f t="shared" si="42"/>
        <v>0</v>
      </c>
      <c r="M101" s="213">
        <f t="shared" si="42"/>
        <v>0</v>
      </c>
      <c r="N101" s="213">
        <f t="shared" si="42"/>
        <v>0</v>
      </c>
      <c r="O101" s="213">
        <f t="shared" si="42"/>
        <v>0</v>
      </c>
      <c r="P101" s="213">
        <f t="shared" si="42"/>
        <v>0</v>
      </c>
      <c r="Q101" s="213">
        <f t="shared" si="42"/>
        <v>0</v>
      </c>
    </row>
    <row r="102" spans="1:17">
      <c r="A102" s="211" t="s">
        <v>466</v>
      </c>
      <c r="B102" s="211"/>
      <c r="C102" s="211"/>
      <c r="D102" s="213">
        <f>ROUND(D50-D49-D48-D47-D45,2)</f>
        <v>0</v>
      </c>
      <c r="E102" s="213">
        <f>ROUND(E50-E49-E48-E47-E45,2)</f>
        <v>0</v>
      </c>
      <c r="F102" s="213">
        <f t="shared" ref="F102:Q102" si="43">ROUND(F50-F49-F48-F47-F45,2)</f>
        <v>0</v>
      </c>
      <c r="G102" s="213">
        <f t="shared" si="43"/>
        <v>0</v>
      </c>
      <c r="H102" s="213">
        <f t="shared" si="43"/>
        <v>0</v>
      </c>
      <c r="I102" s="213">
        <f t="shared" si="43"/>
        <v>0</v>
      </c>
      <c r="J102" s="213">
        <f t="shared" si="43"/>
        <v>0</v>
      </c>
      <c r="K102" s="213">
        <f t="shared" si="43"/>
        <v>0</v>
      </c>
      <c r="L102" s="213">
        <f t="shared" si="43"/>
        <v>0</v>
      </c>
      <c r="M102" s="213">
        <f t="shared" si="43"/>
        <v>0</v>
      </c>
      <c r="N102" s="213">
        <f t="shared" si="43"/>
        <v>0</v>
      </c>
      <c r="O102" s="213">
        <f t="shared" si="43"/>
        <v>0</v>
      </c>
      <c r="P102" s="213">
        <f t="shared" si="43"/>
        <v>0</v>
      </c>
      <c r="Q102" s="213">
        <f t="shared" si="43"/>
        <v>0</v>
      </c>
    </row>
    <row r="103" spans="1:17">
      <c r="A103" s="211" t="s">
        <v>467</v>
      </c>
      <c r="B103" s="211"/>
      <c r="C103" s="211"/>
      <c r="D103" s="213">
        <f>ROUND(D55-D54-D52-D51,2)</f>
        <v>0</v>
      </c>
      <c r="E103" s="213">
        <f>ROUND(E55-E54-E52-E51,2)</f>
        <v>0</v>
      </c>
      <c r="F103" s="213">
        <f t="shared" ref="F103:Q103" si="44">ROUND(F55-F54-F52-F51,2)</f>
        <v>0</v>
      </c>
      <c r="G103" s="213">
        <f t="shared" si="44"/>
        <v>0</v>
      </c>
      <c r="H103" s="213">
        <f t="shared" si="44"/>
        <v>0</v>
      </c>
      <c r="I103" s="213">
        <f t="shared" si="44"/>
        <v>0</v>
      </c>
      <c r="J103" s="213">
        <f t="shared" si="44"/>
        <v>0</v>
      </c>
      <c r="K103" s="213">
        <f t="shared" si="44"/>
        <v>0</v>
      </c>
      <c r="L103" s="213">
        <f t="shared" si="44"/>
        <v>0</v>
      </c>
      <c r="M103" s="213">
        <f t="shared" si="44"/>
        <v>0</v>
      </c>
      <c r="N103" s="213">
        <f t="shared" si="44"/>
        <v>0</v>
      </c>
      <c r="O103" s="213">
        <f t="shared" si="44"/>
        <v>0</v>
      </c>
      <c r="P103" s="213">
        <f t="shared" si="44"/>
        <v>0</v>
      </c>
      <c r="Q103" s="213">
        <f t="shared" si="44"/>
        <v>0</v>
      </c>
    </row>
    <row r="104" spans="1:17">
      <c r="A104" s="211" t="s">
        <v>468</v>
      </c>
      <c r="B104" s="211"/>
      <c r="C104" s="211"/>
      <c r="D104" s="213">
        <f>ROUND(D50-D55-D56,2)</f>
        <v>0</v>
      </c>
      <c r="E104" s="213">
        <f>ROUND(E50-E55-E56,2)</f>
        <v>0</v>
      </c>
      <c r="F104" s="213">
        <f t="shared" ref="F104:Q104" si="45">ROUND(F50-F55-F56,2)</f>
        <v>0</v>
      </c>
      <c r="G104" s="213">
        <f t="shared" si="45"/>
        <v>0</v>
      </c>
      <c r="H104" s="213">
        <f t="shared" si="45"/>
        <v>0</v>
      </c>
      <c r="I104" s="213">
        <f t="shared" si="45"/>
        <v>0</v>
      </c>
      <c r="J104" s="213">
        <f t="shared" si="45"/>
        <v>0</v>
      </c>
      <c r="K104" s="213">
        <f t="shared" si="45"/>
        <v>0</v>
      </c>
      <c r="L104" s="213">
        <f t="shared" si="45"/>
        <v>0</v>
      </c>
      <c r="M104" s="213">
        <f t="shared" si="45"/>
        <v>0</v>
      </c>
      <c r="N104" s="213">
        <f t="shared" si="45"/>
        <v>0</v>
      </c>
      <c r="O104" s="213">
        <f t="shared" si="45"/>
        <v>0</v>
      </c>
      <c r="P104" s="213">
        <f t="shared" si="45"/>
        <v>0</v>
      </c>
      <c r="Q104" s="213">
        <f t="shared" si="45"/>
        <v>0</v>
      </c>
    </row>
    <row r="105" spans="1:17" ht="22.5">
      <c r="A105" s="218" t="s">
        <v>105</v>
      </c>
      <c r="B105" s="218"/>
      <c r="C105" s="218"/>
      <c r="D105" s="213">
        <f t="shared" ref="D105" si="46">ROUND(D30+D43+D56+D57-D58,2)</f>
        <v>0</v>
      </c>
      <c r="E105" s="213">
        <f t="shared" ref="E105:Q105" si="47">ROUND(E30+E43+E56+E57-E58,2)</f>
        <v>0</v>
      </c>
      <c r="F105" s="213">
        <f t="shared" si="47"/>
        <v>0</v>
      </c>
      <c r="G105" s="213">
        <f t="shared" si="47"/>
        <v>0</v>
      </c>
      <c r="H105" s="213">
        <f t="shared" si="47"/>
        <v>0</v>
      </c>
      <c r="I105" s="213">
        <f t="shared" si="47"/>
        <v>0</v>
      </c>
      <c r="J105" s="213">
        <f t="shared" si="47"/>
        <v>0</v>
      </c>
      <c r="K105" s="213">
        <f t="shared" si="47"/>
        <v>0</v>
      </c>
      <c r="L105" s="213">
        <f t="shared" si="47"/>
        <v>0</v>
      </c>
      <c r="M105" s="213">
        <f t="shared" si="47"/>
        <v>0</v>
      </c>
      <c r="N105" s="213">
        <f t="shared" si="47"/>
        <v>0</v>
      </c>
      <c r="O105" s="213">
        <f t="shared" si="47"/>
        <v>0</v>
      </c>
      <c r="P105" s="213">
        <f t="shared" si="47"/>
        <v>0</v>
      </c>
      <c r="Q105" s="213">
        <f t="shared" si="47"/>
        <v>0</v>
      </c>
    </row>
    <row r="106" spans="1:17" ht="22.5">
      <c r="A106" s="218" t="s">
        <v>106</v>
      </c>
      <c r="B106" s="218"/>
      <c r="C106" s="218"/>
      <c r="D106" s="213">
        <f>ROUND(D58+D59-D60,2)</f>
        <v>0</v>
      </c>
      <c r="E106" s="213">
        <f>ROUND(E58+E59-E60,2)</f>
        <v>0</v>
      </c>
      <c r="F106" s="213">
        <f t="shared" ref="F106:Q106" si="48">ROUND(F58+F59-F60,2)</f>
        <v>0</v>
      </c>
      <c r="G106" s="213">
        <f t="shared" si="48"/>
        <v>0</v>
      </c>
      <c r="H106" s="213">
        <f t="shared" si="48"/>
        <v>0</v>
      </c>
      <c r="I106" s="213">
        <f t="shared" si="48"/>
        <v>0</v>
      </c>
      <c r="J106" s="213">
        <f t="shared" si="48"/>
        <v>0</v>
      </c>
      <c r="K106" s="213">
        <f t="shared" si="48"/>
        <v>0</v>
      </c>
      <c r="L106" s="213">
        <f t="shared" si="48"/>
        <v>0</v>
      </c>
      <c r="M106" s="213">
        <f t="shared" si="48"/>
        <v>0</v>
      </c>
      <c r="N106" s="213">
        <f t="shared" si="48"/>
        <v>0</v>
      </c>
      <c r="O106" s="213">
        <f t="shared" si="48"/>
        <v>0</v>
      </c>
      <c r="P106" s="213">
        <f t="shared" si="48"/>
        <v>0</v>
      </c>
      <c r="Q106" s="213">
        <f t="shared" si="48"/>
        <v>0</v>
      </c>
    </row>
    <row r="107" spans="1:17" ht="22.5">
      <c r="A107" s="218" t="s">
        <v>107</v>
      </c>
      <c r="B107" s="218"/>
      <c r="C107" s="218"/>
      <c r="D107" s="213"/>
      <c r="E107" s="213">
        <f>ROUND(E59-'1 资产负债表'!C7,2)</f>
        <v>0</v>
      </c>
      <c r="F107" s="213">
        <f>ROUND(F59-'1 资产负债表'!C7,2)</f>
        <v>0</v>
      </c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</row>
    <row r="108" spans="1:17" ht="22.5">
      <c r="A108" s="218" t="s">
        <v>109</v>
      </c>
      <c r="B108" s="218"/>
      <c r="C108" s="218"/>
      <c r="D108" s="213"/>
      <c r="E108" s="213">
        <f>ROUND(E60-'1 资产负债表'!B7,2)</f>
        <v>0</v>
      </c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</row>
    <row r="110" spans="1:17" hidden="1" outlineLevel="1">
      <c r="A110" s="308" t="s">
        <v>469</v>
      </c>
      <c r="B110" s="308"/>
      <c r="C110" s="308"/>
      <c r="D110" s="308"/>
      <c r="E110"/>
    </row>
    <row r="111" spans="1:17" hidden="1" outlineLevel="1">
      <c r="A111" s="259" t="s">
        <v>111</v>
      </c>
      <c r="B111" s="259"/>
      <c r="C111" s="259"/>
      <c r="D111" s="259"/>
      <c r="E111" s="213">
        <f>ROUND(E64-'2 利润表'!E37,2)</f>
        <v>0</v>
      </c>
      <c r="F111" s="213">
        <f>ROUND(F64-'2 利润表'!F37,2)</f>
        <v>0</v>
      </c>
      <c r="G111" s="213">
        <f>ROUND(G64-'2 利润表'!G37,2)</f>
        <v>0</v>
      </c>
      <c r="H111" s="213">
        <f>ROUND(H64-'2 利润表'!H37,2)</f>
        <v>0</v>
      </c>
      <c r="I111" s="213">
        <f>ROUND(I64-'2 利润表'!I37,2)</f>
        <v>0</v>
      </c>
      <c r="J111" s="213">
        <f>ROUND(J64-'2 利润表'!J37,2)</f>
        <v>0</v>
      </c>
      <c r="K111" s="213">
        <f>ROUND(K64-'2 利润表'!K37,2)</f>
        <v>0</v>
      </c>
      <c r="L111" s="213">
        <f>ROUND(L64-'2 利润表'!L37,2)</f>
        <v>0</v>
      </c>
      <c r="M111" s="213">
        <f>ROUND(M64-'2 利润表'!M37,2)</f>
        <v>0</v>
      </c>
      <c r="N111" s="213">
        <f>ROUND(N64-'2 利润表'!N37,2)</f>
        <v>0</v>
      </c>
      <c r="O111" s="213">
        <f>ROUND(O64-'2 利润表'!O37,2)</f>
        <v>0</v>
      </c>
      <c r="P111" s="213">
        <f>ROUND(P64-'2 利润表'!P37,2)</f>
        <v>0</v>
      </c>
      <c r="Q111" s="213">
        <f>ROUND(Q64-'2 利润表'!Q37,2)</f>
        <v>0</v>
      </c>
    </row>
    <row r="112" spans="1:17" hidden="1" outlineLevel="1">
      <c r="A112" s="259" t="s">
        <v>112</v>
      </c>
      <c r="B112" s="259"/>
      <c r="C112" s="259"/>
      <c r="D112" s="259"/>
      <c r="E112" s="213">
        <f t="shared" ref="E112:Q112" si="49">ROUND(E80-SUM(E64:E79),2)</f>
        <v>0</v>
      </c>
      <c r="F112" s="213">
        <f t="shared" si="49"/>
        <v>0</v>
      </c>
      <c r="G112" s="213">
        <f t="shared" si="49"/>
        <v>0</v>
      </c>
      <c r="H112" s="213">
        <f t="shared" si="49"/>
        <v>0</v>
      </c>
      <c r="I112" s="213">
        <f t="shared" si="49"/>
        <v>0</v>
      </c>
      <c r="J112" s="213">
        <f t="shared" si="49"/>
        <v>0</v>
      </c>
      <c r="K112" s="213">
        <f t="shared" si="49"/>
        <v>0</v>
      </c>
      <c r="L112" s="213">
        <f t="shared" si="49"/>
        <v>0</v>
      </c>
      <c r="M112" s="213">
        <f t="shared" si="49"/>
        <v>0</v>
      </c>
      <c r="N112" s="213">
        <f t="shared" si="49"/>
        <v>0</v>
      </c>
      <c r="O112" s="213">
        <f t="shared" si="49"/>
        <v>0</v>
      </c>
      <c r="P112" s="213">
        <f t="shared" si="49"/>
        <v>0</v>
      </c>
      <c r="Q112" s="213">
        <f t="shared" si="49"/>
        <v>0</v>
      </c>
    </row>
    <row r="113" spans="1:17" ht="36" hidden="1" outlineLevel="1">
      <c r="A113" s="259" t="s">
        <v>113</v>
      </c>
      <c r="B113" s="259"/>
      <c r="C113" s="259"/>
      <c r="D113" s="259"/>
      <c r="E113" s="213">
        <f t="shared" ref="E113:Q113" si="50">ROUND(E86-E87+E88-E89-E90,2)</f>
        <v>0</v>
      </c>
      <c r="F113" s="213">
        <f t="shared" si="50"/>
        <v>0</v>
      </c>
      <c r="G113" s="213">
        <f t="shared" si="50"/>
        <v>0</v>
      </c>
      <c r="H113" s="213">
        <f t="shared" si="50"/>
        <v>0</v>
      </c>
      <c r="I113" s="213">
        <f t="shared" si="50"/>
        <v>0</v>
      </c>
      <c r="J113" s="213">
        <f t="shared" si="50"/>
        <v>0</v>
      </c>
      <c r="K113" s="213">
        <f t="shared" si="50"/>
        <v>0</v>
      </c>
      <c r="L113" s="213">
        <f t="shared" si="50"/>
        <v>0</v>
      </c>
      <c r="M113" s="213">
        <f t="shared" si="50"/>
        <v>0</v>
      </c>
      <c r="N113" s="213">
        <f t="shared" si="50"/>
        <v>0</v>
      </c>
      <c r="O113" s="213">
        <f t="shared" si="50"/>
        <v>0</v>
      </c>
      <c r="P113" s="213">
        <f t="shared" si="50"/>
        <v>0</v>
      </c>
      <c r="Q113" s="213">
        <f t="shared" si="50"/>
        <v>0</v>
      </c>
    </row>
    <row r="114" spans="1:17" ht="24" hidden="1" outlineLevel="1">
      <c r="A114" s="259" t="s">
        <v>114</v>
      </c>
      <c r="B114" s="259"/>
      <c r="C114" s="259"/>
      <c r="D114" s="259"/>
      <c r="E114" s="213">
        <f>ROUND(E80-'3 现金流量表'!E30,2)</f>
        <v>169925631.03999999</v>
      </c>
      <c r="F114" s="213">
        <f>ROUND(F80-'3 现金流量表'!F30,2)</f>
        <v>89793375.950000003</v>
      </c>
      <c r="G114" s="213">
        <f>ROUND(G80-'3 现金流量表'!G30,2)</f>
        <v>-1335383.4099999999</v>
      </c>
      <c r="H114" s="213">
        <f>ROUND(H80-'3 现金流量表'!H30,2)</f>
        <v>90480213.620000005</v>
      </c>
      <c r="I114" s="213">
        <f>ROUND(I80-'3 现金流量表'!I30,2)</f>
        <v>39026830.789999999</v>
      </c>
      <c r="J114" s="213">
        <f>ROUND(J80-'3 现金流量表'!J30,2)</f>
        <v>41981140.490000002</v>
      </c>
      <c r="K114" s="213">
        <f>ROUND(K80-'3 现金流量表'!K30,2)</f>
        <v>-18793601.940000001</v>
      </c>
      <c r="L114" s="213">
        <f>ROUND(L80-'3 现金流量表'!L30,2)</f>
        <v>-35757403.859999999</v>
      </c>
      <c r="M114" s="213">
        <f>ROUND(M80-'3 现金流量表'!M30,2)</f>
        <v>-842579.37</v>
      </c>
      <c r="N114" s="213">
        <f>ROUND(N80-'3 现金流量表'!N30,2)</f>
        <v>-16333440.57</v>
      </c>
      <c r="O114" s="213">
        <f>ROUND(O80-'3 现金流量表'!O30,2)</f>
        <v>-254105.57</v>
      </c>
      <c r="P114" s="213">
        <f>ROUND(P80-'3 现金流量表'!P30,2)</f>
        <v>-689330.76</v>
      </c>
      <c r="Q114" s="213">
        <f>ROUND(Q80-'3 现金流量表'!Q30,2)</f>
        <v>-17350084.329999998</v>
      </c>
    </row>
    <row r="115" spans="1:17" ht="24" hidden="1" outlineLevel="1">
      <c r="A115" s="259" t="s">
        <v>115</v>
      </c>
      <c r="B115" s="259"/>
      <c r="C115" s="259"/>
      <c r="D115" s="259"/>
      <c r="E115" s="213">
        <f>ROUND(E86-'3 现金流量表'!E60,2)</f>
        <v>0</v>
      </c>
      <c r="F115" s="213">
        <f>ROUND(F86-'3 现金流量表'!F60,2)</f>
        <v>0</v>
      </c>
      <c r="G115" s="213">
        <f>ROUND(G86-'3 现金流量表'!G60,2)</f>
        <v>0</v>
      </c>
      <c r="H115" s="213">
        <f>ROUND(H86-'3 现金流量表'!H60,2)</f>
        <v>0</v>
      </c>
      <c r="I115" s="213">
        <f>ROUND(I86-'3 现金流量表'!I60,2)</f>
        <v>0</v>
      </c>
      <c r="J115" s="213">
        <f>ROUND(J86-'3 现金流量表'!J60,2)</f>
        <v>0</v>
      </c>
      <c r="K115" s="213">
        <f>ROUND(K86-'3 现金流量表'!K60,2)</f>
        <v>0</v>
      </c>
      <c r="L115" s="213">
        <f>ROUND(L86-'3 现金流量表'!L60,2)</f>
        <v>0</v>
      </c>
      <c r="M115" s="213">
        <f>ROUND(M86-'3 现金流量表'!M60,2)</f>
        <v>0</v>
      </c>
      <c r="N115" s="213">
        <f>ROUND(N86-'3 现金流量表'!N60,2)</f>
        <v>0</v>
      </c>
      <c r="O115" s="213">
        <f>ROUND(O86-'3 现金流量表'!O60,2)</f>
        <v>0</v>
      </c>
      <c r="P115" s="213">
        <f>ROUND(P86-'3 现金流量表'!P60,2)</f>
        <v>0</v>
      </c>
      <c r="Q115" s="213">
        <f>ROUND(Q86-'3 现金流量表'!Q60,2)</f>
        <v>0</v>
      </c>
    </row>
    <row r="116" spans="1:17" ht="24" hidden="1" outlineLevel="1">
      <c r="A116" s="259" t="s">
        <v>116</v>
      </c>
      <c r="B116" s="259"/>
      <c r="C116" s="259"/>
      <c r="D116" s="259"/>
      <c r="E116" s="213">
        <f>ROUND(E87-'3 现金流量表'!E59,2)</f>
        <v>0</v>
      </c>
      <c r="F116" s="213">
        <f>ROUND(F87-'3 现金流量表'!F59,2)</f>
        <v>0</v>
      </c>
      <c r="G116" s="213">
        <f>ROUND(G87-'3 现金流量表'!G59,2)</f>
        <v>0</v>
      </c>
      <c r="H116" s="213">
        <f>ROUND(H87-'3 现金流量表'!H59,2)</f>
        <v>0</v>
      </c>
      <c r="I116" s="213">
        <f>ROUND(I87-'3 现金流量表'!I59,2)</f>
        <v>0</v>
      </c>
      <c r="J116" s="213">
        <f>ROUND(J87-'3 现金流量表'!J59,2)</f>
        <v>0</v>
      </c>
      <c r="K116" s="213">
        <f>ROUND(K87-'3 现金流量表'!K59,2)</f>
        <v>0</v>
      </c>
      <c r="L116" s="213">
        <f>ROUND(L87-'3 现金流量表'!L59,2)</f>
        <v>0</v>
      </c>
      <c r="M116" s="213">
        <f>ROUND(M87-'3 现金流量表'!M59,2)</f>
        <v>0</v>
      </c>
      <c r="N116" s="213">
        <f>ROUND(N87-'3 现金流量表'!N59,2)</f>
        <v>0</v>
      </c>
      <c r="O116" s="213">
        <f>ROUND(O87-'3 现金流量表'!O59,2)</f>
        <v>0</v>
      </c>
      <c r="P116" s="213">
        <f>ROUND(P87-'3 现金流量表'!P59,2)</f>
        <v>0</v>
      </c>
      <c r="Q116" s="213">
        <f>ROUND(Q87-'3 现金流量表'!Q59,2)</f>
        <v>0</v>
      </c>
    </row>
    <row r="117" spans="1:17" ht="24" hidden="1" outlineLevel="1">
      <c r="A117" s="259" t="s">
        <v>117</v>
      </c>
      <c r="B117" s="259"/>
      <c r="C117" s="259"/>
      <c r="D117" s="259"/>
      <c r="E117" s="213">
        <f>ROUND(E90-'3 现金流量表'!E58,2)</f>
        <v>0</v>
      </c>
      <c r="F117" s="213">
        <f>ROUND(F90-'3 现金流量表'!F58,2)</f>
        <v>0</v>
      </c>
      <c r="G117" s="213">
        <f>ROUND(G90-'3 现金流量表'!G58,2)</f>
        <v>0</v>
      </c>
      <c r="H117" s="213">
        <f>ROUND(H90-'3 现金流量表'!H58,2)</f>
        <v>0</v>
      </c>
      <c r="I117" s="213">
        <f>ROUND(I90-'3 现金流量表'!I58,2)</f>
        <v>0</v>
      </c>
      <c r="J117" s="213">
        <f>ROUND(J90-'3 现金流量表'!J58,2)</f>
        <v>0</v>
      </c>
      <c r="K117" s="213">
        <f>ROUND(K90-'3 现金流量表'!K58,2)</f>
        <v>0</v>
      </c>
      <c r="L117" s="213">
        <f>ROUND(L90-'3 现金流量表'!L58,2)</f>
        <v>0</v>
      </c>
      <c r="M117" s="213">
        <f>ROUND(M90-'3 现金流量表'!M58,2)</f>
        <v>0</v>
      </c>
      <c r="N117" s="213">
        <f>ROUND(N90-'3 现金流量表'!N58,2)</f>
        <v>0</v>
      </c>
      <c r="O117" s="213">
        <f>ROUND(O90-'3 现金流量表'!O58,2)</f>
        <v>0</v>
      </c>
      <c r="P117" s="213">
        <f>ROUND(P90-'3 现金流量表'!P58,2)</f>
        <v>0</v>
      </c>
      <c r="Q117" s="213">
        <f>ROUND(Q90-'3 现金流量表'!Q58,2)</f>
        <v>0</v>
      </c>
    </row>
    <row r="118" spans="1:17" collapsed="1"/>
  </sheetData>
  <sheetProtection sheet="1" objects="1" scenarios="1"/>
  <mergeCells count="1">
    <mergeCell ref="A1:Q1"/>
  </mergeCells>
  <phoneticPr fontId="83" type="noConversion"/>
  <hyperlinks>
    <hyperlink ref="A1:Q1" location="目录!A1" display="现金流量表及补充资料"/>
  </hyperlinks>
  <pageMargins left="0.70763888888888904" right="0.70763888888888904" top="0.40902777777777799" bottom="0.40902777777777799" header="0.31388888888888899" footer="0.31388888888888899"/>
  <pageSetup paperSize="9" scale="64" fitToHeight="2" orientation="landscape" r:id="rId1"/>
  <rowBreaks count="1" manualBreakCount="1">
    <brk id="6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  <outlinePr summaryRight="0"/>
  </sheetPr>
  <dimension ref="A1:AH52"/>
  <sheetViews>
    <sheetView workbookViewId="0">
      <pane xSplit="9" ySplit="7" topLeftCell="J8" activePane="bottomRight" state="frozen"/>
      <selection pane="topRight"/>
      <selection pane="bottomLeft"/>
      <selection pane="bottomRight" activeCell="I46" sqref="I46"/>
    </sheetView>
  </sheetViews>
  <sheetFormatPr defaultColWidth="9" defaultRowHeight="14.25"/>
  <cols>
    <col min="1" max="1" width="8.25" customWidth="1"/>
    <col min="2" max="2" width="26.25" customWidth="1"/>
    <col min="4" max="4" width="12" customWidth="1"/>
    <col min="5" max="5" width="9" customWidth="1"/>
    <col min="6" max="7" width="9" hidden="1" customWidth="1"/>
    <col min="8" max="8" width="10.5" customWidth="1"/>
    <col min="9" max="9" width="13.125" customWidth="1"/>
    <col min="10" max="10" width="9.5" customWidth="1"/>
    <col min="11" max="11" width="10.75" customWidth="1"/>
    <col min="22" max="22" width="10" customWidth="1"/>
  </cols>
  <sheetData>
    <row r="1" spans="1:34" ht="20.100000000000001" customHeight="1">
      <c r="A1" s="1" t="s">
        <v>470</v>
      </c>
      <c r="B1" s="22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>
      <c r="A2" s="65" t="str">
        <f>"编制单位："&amp;编制说明及审核公式!$C$2</f>
        <v>编制单位：上海丰泰置业有限公司</v>
      </c>
      <c r="B2" s="22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</row>
    <row r="3" spans="1:34">
      <c r="A3" s="65" t="str">
        <f>"日期："&amp;编制说明及审核公式!$C$3</f>
        <v>日期：2020年12月</v>
      </c>
      <c r="B3" s="22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pans="1:34">
      <c r="A4" s="65" t="s">
        <v>175</v>
      </c>
      <c r="B4" s="22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s="219" customFormat="1" ht="15" customHeight="1">
      <c r="A5" s="398" t="s">
        <v>471</v>
      </c>
      <c r="B5" s="395" t="s">
        <v>472</v>
      </c>
      <c r="C5" s="389" t="s">
        <v>473</v>
      </c>
      <c r="D5" s="390"/>
      <c r="E5" s="395" t="s">
        <v>372</v>
      </c>
      <c r="F5" s="389" t="s">
        <v>271</v>
      </c>
      <c r="G5" s="390"/>
      <c r="H5" s="389" t="s">
        <v>474</v>
      </c>
      <c r="I5" s="390"/>
      <c r="J5" s="389" t="s">
        <v>475</v>
      </c>
      <c r="K5" s="390"/>
      <c r="L5" s="389" t="s">
        <v>476</v>
      </c>
      <c r="M5" s="390"/>
      <c r="N5" s="389" t="s">
        <v>477</v>
      </c>
      <c r="O5" s="390"/>
      <c r="P5" s="389" t="s">
        <v>478</v>
      </c>
      <c r="Q5" s="390"/>
      <c r="R5" s="389" t="s">
        <v>479</v>
      </c>
      <c r="S5" s="390"/>
      <c r="T5" s="389" t="s">
        <v>480</v>
      </c>
      <c r="U5" s="390"/>
      <c r="V5" s="389" t="s">
        <v>481</v>
      </c>
      <c r="W5" s="390"/>
      <c r="X5" s="389" t="s">
        <v>482</v>
      </c>
      <c r="Y5" s="390"/>
      <c r="Z5" s="389" t="s">
        <v>483</v>
      </c>
      <c r="AA5" s="390"/>
      <c r="AB5" s="389" t="s">
        <v>484</v>
      </c>
      <c r="AC5" s="390"/>
      <c r="AD5" s="389" t="s">
        <v>485</v>
      </c>
      <c r="AE5" s="390"/>
      <c r="AF5" s="389" t="s">
        <v>486</v>
      </c>
      <c r="AG5" s="390"/>
      <c r="AH5" s="262"/>
    </row>
    <row r="6" spans="1:34" s="219" customFormat="1" ht="33.75">
      <c r="A6" s="399"/>
      <c r="B6" s="396"/>
      <c r="C6" s="224" t="s">
        <v>487</v>
      </c>
      <c r="D6" s="225" t="s">
        <v>488</v>
      </c>
      <c r="E6" s="396"/>
      <c r="F6" s="224" t="s">
        <v>487</v>
      </c>
      <c r="G6" s="225" t="s">
        <v>488</v>
      </c>
      <c r="H6" s="224" t="s">
        <v>487</v>
      </c>
      <c r="I6" s="225" t="s">
        <v>488</v>
      </c>
      <c r="J6" s="224" t="s">
        <v>487</v>
      </c>
      <c r="K6" s="225" t="s">
        <v>488</v>
      </c>
      <c r="L6" s="224" t="s">
        <v>487</v>
      </c>
      <c r="M6" s="225" t="s">
        <v>488</v>
      </c>
      <c r="N6" s="224" t="s">
        <v>487</v>
      </c>
      <c r="O6" s="225" t="s">
        <v>488</v>
      </c>
      <c r="P6" s="224" t="s">
        <v>487</v>
      </c>
      <c r="Q6" s="225" t="s">
        <v>488</v>
      </c>
      <c r="R6" s="224" t="s">
        <v>487</v>
      </c>
      <c r="S6" s="225" t="s">
        <v>488</v>
      </c>
      <c r="T6" s="224" t="s">
        <v>487</v>
      </c>
      <c r="U6" s="225" t="s">
        <v>488</v>
      </c>
      <c r="V6" s="224" t="s">
        <v>487</v>
      </c>
      <c r="W6" s="225" t="s">
        <v>488</v>
      </c>
      <c r="X6" s="224" t="s">
        <v>487</v>
      </c>
      <c r="Y6" s="225" t="s">
        <v>488</v>
      </c>
      <c r="Z6" s="224" t="s">
        <v>487</v>
      </c>
      <c r="AA6" s="225" t="s">
        <v>488</v>
      </c>
      <c r="AB6" s="224" t="s">
        <v>487</v>
      </c>
      <c r="AC6" s="225" t="s">
        <v>488</v>
      </c>
      <c r="AD6" s="224" t="s">
        <v>487</v>
      </c>
      <c r="AE6" s="225" t="s">
        <v>488</v>
      </c>
      <c r="AF6" s="224" t="s">
        <v>487</v>
      </c>
      <c r="AG6" s="225" t="s">
        <v>488</v>
      </c>
      <c r="AH6" s="263" t="s">
        <v>285</v>
      </c>
    </row>
    <row r="7" spans="1:34" s="220" customFormat="1" ht="28.5" customHeight="1">
      <c r="A7" s="402" t="s">
        <v>489</v>
      </c>
      <c r="B7" s="403"/>
      <c r="C7" s="391"/>
      <c r="D7" s="392"/>
      <c r="E7" s="226">
        <f>IFERROR(H7/C7,0)</f>
        <v>0</v>
      </c>
      <c r="F7" s="393">
        <f>INDEX(J7:AG7,MATCH(--MID($A$3,9,2)&amp;"月",$J$5:$AG$5,))</f>
        <v>0</v>
      </c>
      <c r="G7" s="394" t="e">
        <f>INDEX(I7:T7,MATCH(--MID($A$3,9,2)&amp;"月",$F$5:$Q$5,))</f>
        <v>#N/A</v>
      </c>
      <c r="H7" s="393">
        <f>SUM(J7:AG7)</f>
        <v>0</v>
      </c>
      <c r="I7" s="394"/>
      <c r="J7" s="391"/>
      <c r="K7" s="392"/>
      <c r="L7" s="391"/>
      <c r="M7" s="392"/>
      <c r="N7" s="391"/>
      <c r="O7" s="392"/>
      <c r="P7" s="391"/>
      <c r="Q7" s="392"/>
      <c r="R7" s="391"/>
      <c r="S7" s="392"/>
      <c r="T7" s="391"/>
      <c r="U7" s="392"/>
      <c r="V7" s="391"/>
      <c r="W7" s="392"/>
      <c r="X7" s="391"/>
      <c r="Y7" s="392"/>
      <c r="Z7" s="391"/>
      <c r="AA7" s="392"/>
      <c r="AB7" s="391"/>
      <c r="AC7" s="392"/>
      <c r="AD7" s="391"/>
      <c r="AE7" s="392"/>
      <c r="AF7" s="391"/>
      <c r="AG7" s="392"/>
      <c r="AH7" s="264">
        <f>ROUND(SUM(J7:AG7)-H7,2)</f>
        <v>0</v>
      </c>
    </row>
    <row r="8" spans="1:34" s="220" customFormat="1" ht="15" customHeight="1">
      <c r="A8" s="368" t="s">
        <v>490</v>
      </c>
      <c r="B8" s="228" t="s">
        <v>491</v>
      </c>
      <c r="C8" s="229">
        <f>SUM(C9:C11)</f>
        <v>0</v>
      </c>
      <c r="D8" s="229">
        <f t="shared" ref="D8:D17" si="0">IF(C$7=0,0,C8/C$7)</f>
        <v>0</v>
      </c>
      <c r="E8" s="230">
        <f t="shared" ref="E8:E36" si="1">IFERROR(H8/C8,0)</f>
        <v>0</v>
      </c>
      <c r="F8" s="229">
        <f>INDEX(J8:AG8,MATCH(--MID($A$3,9,2)&amp;"月",$J$5:$AG$5,))</f>
        <v>0</v>
      </c>
      <c r="G8" s="229">
        <f>INDEX(J8:AG8,MATCH(--MID($A$3,9,2)&amp;"月",$J$5:$AG$5,)+1)</f>
        <v>0</v>
      </c>
      <c r="H8" s="229">
        <f>SUM(H9:H11)</f>
        <v>0</v>
      </c>
      <c r="I8" s="229">
        <f t="shared" ref="I8:I17" si="2">IF(H$7=0,0,H8/H$7)</f>
        <v>0</v>
      </c>
      <c r="J8" s="229">
        <f>SUM(J9:J11)</f>
        <v>0</v>
      </c>
      <c r="K8" s="229">
        <f t="shared" ref="K8:K17" si="3">IF(J$7=0,0,J8/J$7)</f>
        <v>0</v>
      </c>
      <c r="L8" s="229">
        <f>SUM(L9:L11)</f>
        <v>0</v>
      </c>
      <c r="M8" s="229">
        <f t="shared" ref="M8:M17" si="4">IF(L$7=0,0,L8/L$7)</f>
        <v>0</v>
      </c>
      <c r="N8" s="229">
        <f>SUM(N9:N11)</f>
        <v>0</v>
      </c>
      <c r="O8" s="229">
        <f t="shared" ref="O8:O17" si="5">IF(N$7=0,0,N8/N$7)</f>
        <v>0</v>
      </c>
      <c r="P8" s="229">
        <f>SUM(P9:P11)</f>
        <v>0</v>
      </c>
      <c r="Q8" s="229">
        <f t="shared" ref="Q8:Q17" si="6">IF(P$7=0,0,P8/P$7)</f>
        <v>0</v>
      </c>
      <c r="R8" s="229">
        <f>SUM(R9:R11)</f>
        <v>0</v>
      </c>
      <c r="S8" s="229">
        <f t="shared" ref="S8:S17" si="7">IF(R$7=0,0,R8/R$7)</f>
        <v>0</v>
      </c>
      <c r="T8" s="229">
        <f>SUM(T9:T11)</f>
        <v>0</v>
      </c>
      <c r="U8" s="229">
        <f t="shared" ref="U8:U17" si="8">IF(T$7=0,0,T8/T$7)</f>
        <v>0</v>
      </c>
      <c r="V8" s="229">
        <f>SUM(V9:V11)</f>
        <v>0</v>
      </c>
      <c r="W8" s="229">
        <f t="shared" ref="W8:W17" si="9">IF(V$7=0,0,V8/V$7)</f>
        <v>0</v>
      </c>
      <c r="X8" s="229">
        <f>SUM(X9:X11)</f>
        <v>0</v>
      </c>
      <c r="Y8" s="229">
        <f t="shared" ref="Y8:Y17" si="10">IF(X$7=0,0,X8/X$7)</f>
        <v>0</v>
      </c>
      <c r="Z8" s="229">
        <f>SUM(Z9:Z11)</f>
        <v>0</v>
      </c>
      <c r="AA8" s="229">
        <f t="shared" ref="AA8:AA17" si="11">IF(Z$7=0,0,Z8/Z$7)</f>
        <v>0</v>
      </c>
      <c r="AB8" s="229">
        <f>SUM(AB9:AB11)</f>
        <v>0</v>
      </c>
      <c r="AC8" s="229">
        <f t="shared" ref="AC8:AC17" si="12">IF(AB$7=0,0,AB8/AB$7)</f>
        <v>0</v>
      </c>
      <c r="AD8" s="229">
        <f>SUM(AD9:AD11)</f>
        <v>0</v>
      </c>
      <c r="AE8" s="229">
        <f t="shared" ref="AE8:AE17" si="13">IF(AD$7=0,0,AD8/AD$7)</f>
        <v>0</v>
      </c>
      <c r="AF8" s="229">
        <f>SUM(AF9:AF11)</f>
        <v>0</v>
      </c>
      <c r="AG8" s="229">
        <f t="shared" ref="AG8:AG17" si="14">IF(AF$7=0,0,AF8/AF$7)</f>
        <v>0</v>
      </c>
      <c r="AH8" s="265">
        <f>ROUND(SUMIF($J$6:$AG$6,$H$6,J8:AG8)-H8,2)</f>
        <v>0</v>
      </c>
    </row>
    <row r="9" spans="1:34" s="219" customFormat="1" ht="15" customHeight="1">
      <c r="A9" s="369" t="s">
        <v>492</v>
      </c>
      <c r="B9" s="232" t="s">
        <v>493</v>
      </c>
      <c r="C9" s="233"/>
      <c r="D9" s="234">
        <f t="shared" si="0"/>
        <v>0</v>
      </c>
      <c r="E9" s="235">
        <f t="shared" si="1"/>
        <v>0</v>
      </c>
      <c r="F9" s="234">
        <f t="shared" ref="F9:F36" si="15">INDEX(J9:AG9,MATCH(--MID($A$3,9,2)&amp;"月",$J$5:$AG$5,))</f>
        <v>0</v>
      </c>
      <c r="G9" s="229">
        <f t="shared" ref="G9:G17" si="16">INDEX(J9:AG9,MATCH(--MID($A$3,9,2)&amp;"月",$J$5:$AG$5,)+1)</f>
        <v>0</v>
      </c>
      <c r="H9" s="234">
        <f>SUMIF($J$6:$AG$6,$H$6,J9:AG9)</f>
        <v>0</v>
      </c>
      <c r="I9" s="234">
        <f t="shared" si="2"/>
        <v>0</v>
      </c>
      <c r="J9" s="233"/>
      <c r="K9" s="260">
        <f t="shared" si="3"/>
        <v>0</v>
      </c>
      <c r="L9" s="233"/>
      <c r="M9" s="260">
        <f t="shared" si="4"/>
        <v>0</v>
      </c>
      <c r="N9" s="233"/>
      <c r="O9" s="260">
        <f t="shared" si="5"/>
        <v>0</v>
      </c>
      <c r="P9" s="233"/>
      <c r="Q9" s="260">
        <f t="shared" si="6"/>
        <v>0</v>
      </c>
      <c r="R9" s="233"/>
      <c r="S9" s="260">
        <f t="shared" si="7"/>
        <v>0</v>
      </c>
      <c r="T9" s="233"/>
      <c r="U9" s="260">
        <f t="shared" si="8"/>
        <v>0</v>
      </c>
      <c r="V9" s="233"/>
      <c r="W9" s="260">
        <f t="shared" si="9"/>
        <v>0</v>
      </c>
      <c r="X9" s="233"/>
      <c r="Y9" s="260">
        <f t="shared" si="10"/>
        <v>0</v>
      </c>
      <c r="Z9" s="233"/>
      <c r="AA9" s="260">
        <f t="shared" si="11"/>
        <v>0</v>
      </c>
      <c r="AB9" s="233"/>
      <c r="AC9" s="260">
        <f t="shared" si="12"/>
        <v>0</v>
      </c>
      <c r="AD9" s="233"/>
      <c r="AE9" s="260">
        <f t="shared" si="13"/>
        <v>0</v>
      </c>
      <c r="AF9" s="233"/>
      <c r="AG9" s="234">
        <f t="shared" si="14"/>
        <v>0</v>
      </c>
      <c r="AH9" s="265">
        <f>ROUND(SUMIF($J$6:$AG$6,$H$6,J9:AG9)-H9,2)</f>
        <v>0</v>
      </c>
    </row>
    <row r="10" spans="1:34" s="219" customFormat="1" ht="15" customHeight="1">
      <c r="A10" s="369" t="s">
        <v>494</v>
      </c>
      <c r="B10" s="232" t="s">
        <v>495</v>
      </c>
      <c r="C10" s="233"/>
      <c r="D10" s="234">
        <f t="shared" si="0"/>
        <v>0</v>
      </c>
      <c r="E10" s="235">
        <f t="shared" si="1"/>
        <v>0</v>
      </c>
      <c r="F10" s="234">
        <f t="shared" si="15"/>
        <v>0</v>
      </c>
      <c r="G10" s="229">
        <f t="shared" si="16"/>
        <v>0</v>
      </c>
      <c r="H10" s="234">
        <f t="shared" ref="H10:H16" si="17">SUMIF($J$6:$AG$6,$H$6,J10:AG10)</f>
        <v>0</v>
      </c>
      <c r="I10" s="234">
        <f t="shared" si="2"/>
        <v>0</v>
      </c>
      <c r="J10" s="233"/>
      <c r="K10" s="260">
        <f t="shared" si="3"/>
        <v>0</v>
      </c>
      <c r="L10" s="233"/>
      <c r="M10" s="260">
        <f t="shared" si="4"/>
        <v>0</v>
      </c>
      <c r="N10" s="233"/>
      <c r="O10" s="260">
        <f t="shared" si="5"/>
        <v>0</v>
      </c>
      <c r="P10" s="233"/>
      <c r="Q10" s="260">
        <f t="shared" si="6"/>
        <v>0</v>
      </c>
      <c r="R10" s="233"/>
      <c r="S10" s="260">
        <f t="shared" si="7"/>
        <v>0</v>
      </c>
      <c r="T10" s="233"/>
      <c r="U10" s="260">
        <f t="shared" si="8"/>
        <v>0</v>
      </c>
      <c r="V10" s="233"/>
      <c r="W10" s="260">
        <f t="shared" si="9"/>
        <v>0</v>
      </c>
      <c r="X10" s="233"/>
      <c r="Y10" s="260">
        <f t="shared" si="10"/>
        <v>0</v>
      </c>
      <c r="Z10" s="233"/>
      <c r="AA10" s="260">
        <f t="shared" si="11"/>
        <v>0</v>
      </c>
      <c r="AB10" s="233"/>
      <c r="AC10" s="260">
        <f t="shared" si="12"/>
        <v>0</v>
      </c>
      <c r="AD10" s="233"/>
      <c r="AE10" s="260">
        <f t="shared" si="13"/>
        <v>0</v>
      </c>
      <c r="AF10" s="233"/>
      <c r="AG10" s="234">
        <f t="shared" si="14"/>
        <v>0</v>
      </c>
      <c r="AH10" s="265">
        <f t="shared" ref="AH10:AH36" si="18">ROUND(SUMIF($J$6:$AG$6,$H$6,J10:AG10)-H10,2)</f>
        <v>0</v>
      </c>
    </row>
    <row r="11" spans="1:34" s="219" customFormat="1" ht="15" customHeight="1">
      <c r="A11" s="231"/>
      <c r="B11" s="232" t="s">
        <v>292</v>
      </c>
      <c r="C11" s="233"/>
      <c r="D11" s="234">
        <f t="shared" ref="D11" si="19">IF(C$7=0,0,C11/C$7)</f>
        <v>0</v>
      </c>
      <c r="E11" s="235">
        <f t="shared" ref="E11" si="20">IFERROR(H11/C11,0)</f>
        <v>0</v>
      </c>
      <c r="F11" s="234">
        <f t="shared" ref="F11" si="21">INDEX(J11:AG11,MATCH(--MID($A$3,9,2)&amp;"月",$J$5:$AG$5,))</f>
        <v>0</v>
      </c>
      <c r="G11" s="229">
        <f t="shared" ref="G11" si="22">INDEX(J11:AG11,MATCH(--MID($A$3,9,2)&amp;"月",$J$5:$AG$5,)+1)</f>
        <v>0</v>
      </c>
      <c r="H11" s="234">
        <f t="shared" ref="H11" si="23">SUMIF($J$6:$AG$6,$H$6,J11:AG11)</f>
        <v>0</v>
      </c>
      <c r="I11" s="234">
        <f t="shared" ref="I11" si="24">IF(H$7=0,0,H11/H$7)</f>
        <v>0</v>
      </c>
      <c r="J11" s="233"/>
      <c r="K11" s="260">
        <f t="shared" ref="K11" si="25">IF(J$7=0,0,J11/J$7)</f>
        <v>0</v>
      </c>
      <c r="L11" s="233"/>
      <c r="M11" s="260">
        <f t="shared" ref="M11" si="26">IF(L$7=0,0,L11/L$7)</f>
        <v>0</v>
      </c>
      <c r="N11" s="233"/>
      <c r="O11" s="260">
        <f t="shared" ref="O11" si="27">IF(N$7=0,0,N11/N$7)</f>
        <v>0</v>
      </c>
      <c r="P11" s="233"/>
      <c r="Q11" s="260">
        <f t="shared" ref="Q11" si="28">IF(P$7=0,0,P11/P$7)</f>
        <v>0</v>
      </c>
      <c r="R11" s="233"/>
      <c r="S11" s="260">
        <f t="shared" ref="S11" si="29">IF(R$7=0,0,R11/R$7)</f>
        <v>0</v>
      </c>
      <c r="T11" s="233"/>
      <c r="U11" s="260">
        <f t="shared" ref="U11" si="30">IF(T$7=0,0,T11/T$7)</f>
        <v>0</v>
      </c>
      <c r="V11" s="233"/>
      <c r="W11" s="260">
        <f t="shared" ref="W11" si="31">IF(V$7=0,0,V11/V$7)</f>
        <v>0</v>
      </c>
      <c r="X11" s="233"/>
      <c r="Y11" s="260">
        <f t="shared" ref="Y11" si="32">IF(X$7=0,0,X11/X$7)</f>
        <v>0</v>
      </c>
      <c r="Z11" s="233"/>
      <c r="AA11" s="260">
        <f t="shared" ref="AA11" si="33">IF(Z$7=0,0,Z11/Z$7)</f>
        <v>0</v>
      </c>
      <c r="AB11" s="233"/>
      <c r="AC11" s="260">
        <f t="shared" ref="AC11" si="34">IF(AB$7=0,0,AB11/AB$7)</f>
        <v>0</v>
      </c>
      <c r="AD11" s="233"/>
      <c r="AE11" s="260">
        <f t="shared" ref="AE11" si="35">IF(AD$7=0,0,AD11/AD$7)</f>
        <v>0</v>
      </c>
      <c r="AF11" s="233"/>
      <c r="AG11" s="234">
        <f t="shared" ref="AG11" si="36">IF(AF$7=0,0,AF11/AF$7)</f>
        <v>0</v>
      </c>
      <c r="AH11" s="265">
        <f t="shared" si="18"/>
        <v>0</v>
      </c>
    </row>
    <row r="12" spans="1:34" s="219" customFormat="1" ht="15" customHeight="1">
      <c r="A12" s="231">
        <v>2</v>
      </c>
      <c r="B12" s="228" t="s">
        <v>496</v>
      </c>
      <c r="C12" s="233"/>
      <c r="D12" s="234">
        <f t="shared" si="0"/>
        <v>0</v>
      </c>
      <c r="E12" s="235">
        <f t="shared" si="1"/>
        <v>0</v>
      </c>
      <c r="F12" s="234">
        <f t="shared" si="15"/>
        <v>0</v>
      </c>
      <c r="G12" s="229">
        <f t="shared" si="16"/>
        <v>0</v>
      </c>
      <c r="H12" s="234">
        <f t="shared" si="17"/>
        <v>0</v>
      </c>
      <c r="I12" s="234">
        <f t="shared" si="2"/>
        <v>0</v>
      </c>
      <c r="J12" s="233"/>
      <c r="K12" s="260">
        <f t="shared" si="3"/>
        <v>0</v>
      </c>
      <c r="L12" s="233"/>
      <c r="M12" s="260">
        <f t="shared" si="4"/>
        <v>0</v>
      </c>
      <c r="N12" s="233"/>
      <c r="O12" s="260">
        <f t="shared" si="5"/>
        <v>0</v>
      </c>
      <c r="P12" s="233"/>
      <c r="Q12" s="260">
        <f t="shared" si="6"/>
        <v>0</v>
      </c>
      <c r="R12" s="233"/>
      <c r="S12" s="260">
        <f t="shared" si="7"/>
        <v>0</v>
      </c>
      <c r="T12" s="233"/>
      <c r="U12" s="260">
        <f t="shared" si="8"/>
        <v>0</v>
      </c>
      <c r="V12" s="233"/>
      <c r="W12" s="260">
        <f t="shared" si="9"/>
        <v>0</v>
      </c>
      <c r="X12" s="233"/>
      <c r="Y12" s="260">
        <f t="shared" si="10"/>
        <v>0</v>
      </c>
      <c r="Z12" s="233"/>
      <c r="AA12" s="260">
        <f t="shared" si="11"/>
        <v>0</v>
      </c>
      <c r="AB12" s="233"/>
      <c r="AC12" s="260">
        <f t="shared" si="12"/>
        <v>0</v>
      </c>
      <c r="AD12" s="233"/>
      <c r="AE12" s="260">
        <f t="shared" si="13"/>
        <v>0</v>
      </c>
      <c r="AF12" s="233"/>
      <c r="AG12" s="234">
        <f t="shared" si="14"/>
        <v>0</v>
      </c>
      <c r="AH12" s="265">
        <f t="shared" si="18"/>
        <v>0</v>
      </c>
    </row>
    <row r="13" spans="1:34" s="219" customFormat="1" ht="15" customHeight="1">
      <c r="A13" s="231"/>
      <c r="B13" s="232" t="s">
        <v>497</v>
      </c>
      <c r="C13" s="233"/>
      <c r="D13" s="234">
        <f t="shared" si="0"/>
        <v>0</v>
      </c>
      <c r="E13" s="235">
        <f t="shared" si="1"/>
        <v>0</v>
      </c>
      <c r="F13" s="234">
        <f t="shared" si="15"/>
        <v>0</v>
      </c>
      <c r="G13" s="229">
        <f t="shared" si="16"/>
        <v>0</v>
      </c>
      <c r="H13" s="234">
        <f t="shared" si="17"/>
        <v>0</v>
      </c>
      <c r="I13" s="234">
        <f t="shared" si="2"/>
        <v>0</v>
      </c>
      <c r="J13" s="233"/>
      <c r="K13" s="260">
        <f t="shared" si="3"/>
        <v>0</v>
      </c>
      <c r="L13" s="233"/>
      <c r="M13" s="260">
        <f t="shared" si="4"/>
        <v>0</v>
      </c>
      <c r="N13" s="233"/>
      <c r="O13" s="260">
        <f t="shared" si="5"/>
        <v>0</v>
      </c>
      <c r="P13" s="233"/>
      <c r="Q13" s="260">
        <f t="shared" si="6"/>
        <v>0</v>
      </c>
      <c r="R13" s="233"/>
      <c r="S13" s="260">
        <f t="shared" si="7"/>
        <v>0</v>
      </c>
      <c r="T13" s="233"/>
      <c r="U13" s="260">
        <f t="shared" si="8"/>
        <v>0</v>
      </c>
      <c r="V13" s="233"/>
      <c r="W13" s="260">
        <f t="shared" si="9"/>
        <v>0</v>
      </c>
      <c r="X13" s="233"/>
      <c r="Y13" s="260">
        <f t="shared" si="10"/>
        <v>0</v>
      </c>
      <c r="Z13" s="233"/>
      <c r="AA13" s="260">
        <f t="shared" si="11"/>
        <v>0</v>
      </c>
      <c r="AB13" s="233"/>
      <c r="AC13" s="260">
        <f t="shared" si="12"/>
        <v>0</v>
      </c>
      <c r="AD13" s="233"/>
      <c r="AE13" s="260">
        <f t="shared" si="13"/>
        <v>0</v>
      </c>
      <c r="AF13" s="233"/>
      <c r="AG13" s="234">
        <f t="shared" si="14"/>
        <v>0</v>
      </c>
      <c r="AH13" s="265">
        <f t="shared" si="18"/>
        <v>0</v>
      </c>
    </row>
    <row r="14" spans="1:34" s="219" customFormat="1" ht="15" customHeight="1">
      <c r="A14" s="231"/>
      <c r="B14" s="232" t="s">
        <v>498</v>
      </c>
      <c r="C14" s="233"/>
      <c r="D14" s="234">
        <f t="shared" si="0"/>
        <v>0</v>
      </c>
      <c r="E14" s="235">
        <f t="shared" si="1"/>
        <v>0</v>
      </c>
      <c r="F14" s="234">
        <f t="shared" si="15"/>
        <v>0</v>
      </c>
      <c r="G14" s="229">
        <f t="shared" si="16"/>
        <v>0</v>
      </c>
      <c r="H14" s="234">
        <f t="shared" si="17"/>
        <v>0</v>
      </c>
      <c r="I14" s="234">
        <f t="shared" si="2"/>
        <v>0</v>
      </c>
      <c r="J14" s="233"/>
      <c r="K14" s="260">
        <f t="shared" si="3"/>
        <v>0</v>
      </c>
      <c r="L14" s="233"/>
      <c r="M14" s="260">
        <f t="shared" si="4"/>
        <v>0</v>
      </c>
      <c r="N14" s="233"/>
      <c r="O14" s="260">
        <f t="shared" si="5"/>
        <v>0</v>
      </c>
      <c r="P14" s="233"/>
      <c r="Q14" s="260">
        <f t="shared" si="6"/>
        <v>0</v>
      </c>
      <c r="R14" s="233"/>
      <c r="S14" s="260">
        <f t="shared" si="7"/>
        <v>0</v>
      </c>
      <c r="T14" s="233"/>
      <c r="U14" s="260">
        <f t="shared" si="8"/>
        <v>0</v>
      </c>
      <c r="V14" s="233"/>
      <c r="W14" s="260">
        <f t="shared" si="9"/>
        <v>0</v>
      </c>
      <c r="X14" s="233"/>
      <c r="Y14" s="260">
        <f t="shared" si="10"/>
        <v>0</v>
      </c>
      <c r="Z14" s="233"/>
      <c r="AA14" s="260">
        <f t="shared" si="11"/>
        <v>0</v>
      </c>
      <c r="AB14" s="233"/>
      <c r="AC14" s="260">
        <f t="shared" si="12"/>
        <v>0</v>
      </c>
      <c r="AD14" s="233"/>
      <c r="AE14" s="260">
        <f t="shared" si="13"/>
        <v>0</v>
      </c>
      <c r="AF14" s="233"/>
      <c r="AG14" s="234">
        <f t="shared" si="14"/>
        <v>0</v>
      </c>
      <c r="AH14" s="265">
        <f t="shared" si="18"/>
        <v>0</v>
      </c>
    </row>
    <row r="15" spans="1:34" s="220" customFormat="1" ht="15" customHeight="1">
      <c r="A15" s="227">
        <v>3</v>
      </c>
      <c r="B15" s="236" t="s">
        <v>499</v>
      </c>
      <c r="C15" s="237"/>
      <c r="D15" s="229">
        <f t="shared" si="0"/>
        <v>0</v>
      </c>
      <c r="E15" s="230">
        <f t="shared" si="1"/>
        <v>0</v>
      </c>
      <c r="F15" s="229">
        <f t="shared" si="15"/>
        <v>0</v>
      </c>
      <c r="G15" s="229">
        <f t="shared" si="16"/>
        <v>0</v>
      </c>
      <c r="H15" s="229">
        <f t="shared" si="17"/>
        <v>0</v>
      </c>
      <c r="I15" s="229">
        <f t="shared" si="2"/>
        <v>0</v>
      </c>
      <c r="J15" s="237"/>
      <c r="K15" s="261">
        <f t="shared" si="3"/>
        <v>0</v>
      </c>
      <c r="L15" s="237"/>
      <c r="M15" s="261">
        <f t="shared" si="4"/>
        <v>0</v>
      </c>
      <c r="N15" s="237"/>
      <c r="O15" s="261">
        <f t="shared" si="5"/>
        <v>0</v>
      </c>
      <c r="P15" s="237"/>
      <c r="Q15" s="261">
        <f t="shared" si="6"/>
        <v>0</v>
      </c>
      <c r="R15" s="237"/>
      <c r="S15" s="261">
        <f t="shared" si="7"/>
        <v>0</v>
      </c>
      <c r="T15" s="237"/>
      <c r="U15" s="261">
        <f t="shared" si="8"/>
        <v>0</v>
      </c>
      <c r="V15" s="237"/>
      <c r="W15" s="261">
        <f t="shared" si="9"/>
        <v>0</v>
      </c>
      <c r="X15" s="237"/>
      <c r="Y15" s="261">
        <f t="shared" si="10"/>
        <v>0</v>
      </c>
      <c r="Z15" s="237"/>
      <c r="AA15" s="261">
        <f t="shared" si="11"/>
        <v>0</v>
      </c>
      <c r="AB15" s="237"/>
      <c r="AC15" s="261">
        <f t="shared" si="12"/>
        <v>0</v>
      </c>
      <c r="AD15" s="237"/>
      <c r="AE15" s="261">
        <f t="shared" si="13"/>
        <v>0</v>
      </c>
      <c r="AF15" s="237"/>
      <c r="AG15" s="229">
        <f t="shared" si="14"/>
        <v>0</v>
      </c>
      <c r="AH15" s="265">
        <f t="shared" si="18"/>
        <v>0</v>
      </c>
    </row>
    <row r="16" spans="1:34" s="219" customFormat="1" ht="15" customHeight="1">
      <c r="A16" s="231">
        <v>4</v>
      </c>
      <c r="B16" s="238" t="s">
        <v>500</v>
      </c>
      <c r="C16" s="233"/>
      <c r="D16" s="234">
        <f t="shared" si="0"/>
        <v>0</v>
      </c>
      <c r="E16" s="235">
        <f t="shared" si="1"/>
        <v>0</v>
      </c>
      <c r="F16" s="234">
        <f t="shared" si="15"/>
        <v>0</v>
      </c>
      <c r="G16" s="229">
        <f t="shared" si="16"/>
        <v>0</v>
      </c>
      <c r="H16" s="234">
        <f t="shared" si="17"/>
        <v>0</v>
      </c>
      <c r="I16" s="234">
        <f t="shared" si="2"/>
        <v>0</v>
      </c>
      <c r="J16" s="233"/>
      <c r="K16" s="260">
        <f t="shared" si="3"/>
        <v>0</v>
      </c>
      <c r="L16" s="233"/>
      <c r="M16" s="260">
        <f t="shared" si="4"/>
        <v>0</v>
      </c>
      <c r="N16" s="233"/>
      <c r="O16" s="260">
        <f t="shared" si="5"/>
        <v>0</v>
      </c>
      <c r="P16" s="233"/>
      <c r="Q16" s="260">
        <f t="shared" si="6"/>
        <v>0</v>
      </c>
      <c r="R16" s="233"/>
      <c r="S16" s="260">
        <f t="shared" si="7"/>
        <v>0</v>
      </c>
      <c r="T16" s="233"/>
      <c r="U16" s="260">
        <f t="shared" si="8"/>
        <v>0</v>
      </c>
      <c r="V16" s="233"/>
      <c r="W16" s="260">
        <f t="shared" si="9"/>
        <v>0</v>
      </c>
      <c r="X16" s="233"/>
      <c r="Y16" s="260">
        <f t="shared" si="10"/>
        <v>0</v>
      </c>
      <c r="Z16" s="233"/>
      <c r="AA16" s="260">
        <f t="shared" si="11"/>
        <v>0</v>
      </c>
      <c r="AB16" s="233"/>
      <c r="AC16" s="260">
        <f t="shared" si="12"/>
        <v>0</v>
      </c>
      <c r="AD16" s="233"/>
      <c r="AE16" s="260">
        <f t="shared" si="13"/>
        <v>0</v>
      </c>
      <c r="AF16" s="233"/>
      <c r="AG16" s="234">
        <f t="shared" si="14"/>
        <v>0</v>
      </c>
      <c r="AH16" s="265">
        <f t="shared" si="18"/>
        <v>0</v>
      </c>
    </row>
    <row r="17" spans="1:34" s="221" customFormat="1" ht="15" customHeight="1">
      <c r="A17" s="227"/>
      <c r="B17" s="228" t="s">
        <v>501</v>
      </c>
      <c r="C17" s="229">
        <f>C8-C15-C16-C12</f>
        <v>0</v>
      </c>
      <c r="D17" s="229">
        <f t="shared" si="0"/>
        <v>0</v>
      </c>
      <c r="E17" s="230">
        <f t="shared" si="1"/>
        <v>0</v>
      </c>
      <c r="F17" s="229">
        <f t="shared" si="15"/>
        <v>0</v>
      </c>
      <c r="G17" s="229">
        <f t="shared" si="16"/>
        <v>0</v>
      </c>
      <c r="H17" s="229">
        <f>H8-H15-H16-H12</f>
        <v>0</v>
      </c>
      <c r="I17" s="229">
        <f t="shared" si="2"/>
        <v>0</v>
      </c>
      <c r="J17" s="229">
        <f>J8-J15-J16-J12</f>
        <v>0</v>
      </c>
      <c r="K17" s="229">
        <f t="shared" si="3"/>
        <v>0</v>
      </c>
      <c r="L17" s="229">
        <f>L8-L15-L16-L12</f>
        <v>0</v>
      </c>
      <c r="M17" s="229">
        <f t="shared" si="4"/>
        <v>0</v>
      </c>
      <c r="N17" s="229">
        <f>N8-N15-N16-N12</f>
        <v>0</v>
      </c>
      <c r="O17" s="229">
        <f t="shared" si="5"/>
        <v>0</v>
      </c>
      <c r="P17" s="229">
        <f>P8-P15-P16-P12</f>
        <v>0</v>
      </c>
      <c r="Q17" s="229">
        <f t="shared" si="6"/>
        <v>0</v>
      </c>
      <c r="R17" s="229">
        <f>R8-R15-R16-R12</f>
        <v>0</v>
      </c>
      <c r="S17" s="229">
        <f t="shared" si="7"/>
        <v>0</v>
      </c>
      <c r="T17" s="229">
        <f>T8-T15-T16-T12</f>
        <v>0</v>
      </c>
      <c r="U17" s="229">
        <f t="shared" si="8"/>
        <v>0</v>
      </c>
      <c r="V17" s="229">
        <f>V8-V15-V16-V12</f>
        <v>0</v>
      </c>
      <c r="W17" s="229">
        <f t="shared" si="9"/>
        <v>0</v>
      </c>
      <c r="X17" s="229">
        <f>X8-X15-X16-X12</f>
        <v>0</v>
      </c>
      <c r="Y17" s="229">
        <f t="shared" si="10"/>
        <v>0</v>
      </c>
      <c r="Z17" s="229">
        <f>Z8-Z15-Z16-Z12</f>
        <v>0</v>
      </c>
      <c r="AA17" s="229">
        <f t="shared" si="11"/>
        <v>0</v>
      </c>
      <c r="AB17" s="229">
        <f>AB8-AB15-AB16-AB12</f>
        <v>0</v>
      </c>
      <c r="AC17" s="229">
        <f t="shared" si="12"/>
        <v>0</v>
      </c>
      <c r="AD17" s="229">
        <f>AD8-AD15-AD16-AD12</f>
        <v>0</v>
      </c>
      <c r="AE17" s="229">
        <f t="shared" si="13"/>
        <v>0</v>
      </c>
      <c r="AF17" s="229">
        <f>AF8-AF15-AF16-AF12</f>
        <v>0</v>
      </c>
      <c r="AG17" s="229">
        <f t="shared" si="14"/>
        <v>0</v>
      </c>
      <c r="AH17" s="265">
        <f t="shared" si="18"/>
        <v>0</v>
      </c>
    </row>
    <row r="18" spans="1:34" s="221" customFormat="1" ht="15" customHeight="1">
      <c r="A18" s="227"/>
      <c r="B18" s="228" t="s">
        <v>502</v>
      </c>
      <c r="C18" s="397">
        <f>IF(C$9=0,0,C17/C$9)</f>
        <v>0</v>
      </c>
      <c r="D18" s="397"/>
      <c r="E18" s="239">
        <f t="shared" si="1"/>
        <v>0</v>
      </c>
      <c r="F18" s="397">
        <f t="shared" si="15"/>
        <v>0</v>
      </c>
      <c r="G18" s="397"/>
      <c r="H18" s="397">
        <f>IF(H$9=0,0,H17/H$9)</f>
        <v>0</v>
      </c>
      <c r="I18" s="397"/>
      <c r="J18" s="397">
        <f>IF(J$9=0,0,J17/J$9)</f>
        <v>0</v>
      </c>
      <c r="K18" s="397"/>
      <c r="L18" s="397">
        <f t="shared" ref="L18:P18" si="37">IF(L$9=0,0,L17/L$9)</f>
        <v>0</v>
      </c>
      <c r="M18" s="397"/>
      <c r="N18" s="397">
        <f t="shared" si="37"/>
        <v>0</v>
      </c>
      <c r="O18" s="397"/>
      <c r="P18" s="397">
        <f t="shared" si="37"/>
        <v>0</v>
      </c>
      <c r="Q18" s="397"/>
      <c r="R18" s="397">
        <f t="shared" ref="R18:V18" si="38">IF(R$9=0,0,R17/R$9)</f>
        <v>0</v>
      </c>
      <c r="S18" s="397"/>
      <c r="T18" s="397">
        <f t="shared" si="38"/>
        <v>0</v>
      </c>
      <c r="U18" s="397"/>
      <c r="V18" s="397">
        <f t="shared" si="38"/>
        <v>0</v>
      </c>
      <c r="W18" s="397"/>
      <c r="X18" s="397">
        <f t="shared" ref="X18:AB18" si="39">IF(X$9=0,0,X17/X$9)</f>
        <v>0</v>
      </c>
      <c r="Y18" s="397"/>
      <c r="Z18" s="397">
        <f t="shared" si="39"/>
        <v>0</v>
      </c>
      <c r="AA18" s="397"/>
      <c r="AB18" s="397">
        <f t="shared" si="39"/>
        <v>0</v>
      </c>
      <c r="AC18" s="397"/>
      <c r="AD18" s="397">
        <f t="shared" ref="AD18:AD23" si="40">IF(AD$9=0,0,AD17/AD$9)</f>
        <v>0</v>
      </c>
      <c r="AE18" s="397"/>
      <c r="AF18" s="397">
        <f t="shared" ref="AF18:AF23" si="41">IF(AF$9=0,0,AF17/AF$9)</f>
        <v>0</v>
      </c>
      <c r="AG18" s="397"/>
      <c r="AH18" s="266"/>
    </row>
    <row r="19" spans="1:34" s="220" customFormat="1" ht="15" customHeight="1">
      <c r="A19" s="368" t="s">
        <v>503</v>
      </c>
      <c r="B19" s="240" t="s">
        <v>504</v>
      </c>
      <c r="C19" s="229">
        <f t="shared" ref="C19" si="42">C20+C22+C24</f>
        <v>0</v>
      </c>
      <c r="D19" s="229">
        <f>IF(C$7=0,0,C19/C$7)</f>
        <v>0</v>
      </c>
      <c r="E19" s="230">
        <f t="shared" si="1"/>
        <v>0</v>
      </c>
      <c r="F19" s="229">
        <f t="shared" si="15"/>
        <v>457956.06000000017</v>
      </c>
      <c r="G19" s="229">
        <f t="shared" ref="G19:G20" si="43">INDEX(J19:AG19,MATCH(--MID($A$3,9,2)&amp;"月",$J$5:$AG$5,)+1)</f>
        <v>0</v>
      </c>
      <c r="H19" s="229">
        <f t="shared" ref="H19:J19" si="44">H20+H22+H24</f>
        <v>12299114.779999997</v>
      </c>
      <c r="I19" s="229">
        <f>IF(H$7=0,0,H19/H$7)</f>
        <v>0</v>
      </c>
      <c r="J19" s="229">
        <f t="shared" si="44"/>
        <v>1338719.2999999998</v>
      </c>
      <c r="K19" s="229">
        <f>IF(J$7=0,0,J19/J$7)</f>
        <v>0</v>
      </c>
      <c r="L19" s="229">
        <f t="shared" ref="L19:P19" si="45">L20+L22+L24</f>
        <v>426132.19</v>
      </c>
      <c r="M19" s="229">
        <f>IF(L$7=0,0,L19/L$7)</f>
        <v>0</v>
      </c>
      <c r="N19" s="229">
        <f t="shared" si="45"/>
        <v>1284031.1599999999</v>
      </c>
      <c r="O19" s="229">
        <f>IF(N$7=0,0,N19/N$7)</f>
        <v>0</v>
      </c>
      <c r="P19" s="229">
        <f t="shared" si="45"/>
        <v>609234.16</v>
      </c>
      <c r="Q19" s="229">
        <f>IF(P$7=0,0,P19/P$7)</f>
        <v>0</v>
      </c>
      <c r="R19" s="229">
        <f t="shared" ref="R19:V19" si="46">R20+R22+R24</f>
        <v>312075.59000000003</v>
      </c>
      <c r="S19" s="229">
        <f>IF(R$7=0,0,R19/R$7)</f>
        <v>0</v>
      </c>
      <c r="T19" s="229">
        <f t="shared" si="46"/>
        <v>4600863.99</v>
      </c>
      <c r="U19" s="229">
        <f>IF(T$7=0,0,T19/T$7)</f>
        <v>0</v>
      </c>
      <c r="V19" s="229">
        <f t="shared" si="46"/>
        <v>496636.25</v>
      </c>
      <c r="W19" s="229">
        <f>IF(V$7=0,0,V19/V$7)</f>
        <v>0</v>
      </c>
      <c r="X19" s="229">
        <f t="shared" ref="X19:AB19" si="47">X20+X22+X24</f>
        <v>580918.84999999974</v>
      </c>
      <c r="Y19" s="229">
        <f>IF(X$7=0,0,X19/X$7)</f>
        <v>0</v>
      </c>
      <c r="Z19" s="229">
        <f t="shared" si="47"/>
        <v>2153949.8699999992</v>
      </c>
      <c r="AA19" s="229">
        <f>IF(Z$7=0,0,Z19/Z$7)</f>
        <v>0</v>
      </c>
      <c r="AB19" s="229">
        <f t="shared" si="47"/>
        <v>-120563.66999999985</v>
      </c>
      <c r="AC19" s="229">
        <f>IF(AB$7=0,0,AB19/AB$7)</f>
        <v>0</v>
      </c>
      <c r="AD19" s="229">
        <f>AD20+AD22+AD24</f>
        <v>159161.03</v>
      </c>
      <c r="AE19" s="229">
        <f>IF(AD$7=0,0,AD19/AD$7)</f>
        <v>0</v>
      </c>
      <c r="AF19" s="229">
        <f>AF20+AF22+AF24</f>
        <v>457956.06000000017</v>
      </c>
      <c r="AG19" s="229">
        <f>IF(AF$7=0,0,AF19/AF$7)</f>
        <v>0</v>
      </c>
      <c r="AH19" s="265">
        <f t="shared" si="18"/>
        <v>0</v>
      </c>
    </row>
    <row r="20" spans="1:34" s="219" customFormat="1" ht="15" customHeight="1">
      <c r="A20" s="400" t="s">
        <v>505</v>
      </c>
      <c r="B20" s="238" t="s">
        <v>506</v>
      </c>
      <c r="C20" s="241"/>
      <c r="D20" s="234">
        <f>IF(C$7=0,0,C20/C$7)</f>
        <v>0</v>
      </c>
      <c r="E20" s="235">
        <f t="shared" si="1"/>
        <v>0</v>
      </c>
      <c r="F20" s="234">
        <f t="shared" si="15"/>
        <v>178.88</v>
      </c>
      <c r="G20" s="234">
        <f t="shared" si="43"/>
        <v>0</v>
      </c>
      <c r="H20" s="234">
        <f t="shared" ref="H20" si="48">SUMIF($J$6:$AG$6,$H$6,J20:AG20)</f>
        <v>554536.83000000019</v>
      </c>
      <c r="I20" s="234">
        <f>IF(H$7=0,0,H20/H$7)</f>
        <v>0</v>
      </c>
      <c r="J20" s="234">
        <f>'2 利润表'!$F$21</f>
        <v>181327.86</v>
      </c>
      <c r="K20" s="234">
        <f>IF(J$7=0,0,J20/J$7)</f>
        <v>0</v>
      </c>
      <c r="L20" s="234">
        <f>'2 利润表'!$G$21</f>
        <v>91126.45</v>
      </c>
      <c r="M20" s="234">
        <f>IF(L$7=0,0,L20/L$7)</f>
        <v>0</v>
      </c>
      <c r="N20" s="234">
        <f>'2 利润表'!$H$21</f>
        <v>88746.45</v>
      </c>
      <c r="O20" s="234">
        <f>IF(N$7=0,0,N20/N$7)</f>
        <v>0</v>
      </c>
      <c r="P20" s="234">
        <f>'2 利润表'!$I$21</f>
        <v>55236.05</v>
      </c>
      <c r="Q20" s="234">
        <f>IF(P$7=0,0,P20/P$7)</f>
        <v>0</v>
      </c>
      <c r="R20" s="234">
        <f>'2 利润表'!$J$21</f>
        <v>77949.63</v>
      </c>
      <c r="S20" s="234">
        <f>IF(R$7=0,0,R20/R$7)</f>
        <v>0</v>
      </c>
      <c r="T20" s="234">
        <f>'2 利润表'!$K$21</f>
        <v>59076.91</v>
      </c>
      <c r="U20" s="234">
        <f>IF(T$7=0,0,T20/T$7)</f>
        <v>0</v>
      </c>
      <c r="V20" s="234">
        <f>'2 利润表'!L$21</f>
        <v>178.92</v>
      </c>
      <c r="W20" s="234">
        <f>IF(V$7=0,0,V20/V$7)</f>
        <v>0</v>
      </c>
      <c r="X20" s="234">
        <f>'2 利润表'!$M$21</f>
        <v>178.92</v>
      </c>
      <c r="Y20" s="234">
        <f>IF(X$7=0,0,X20/X$7)</f>
        <v>0</v>
      </c>
      <c r="Z20" s="234">
        <f>'2 利润表'!$N$21</f>
        <v>178.92</v>
      </c>
      <c r="AA20" s="234">
        <f>IF(Z$7=0,0,Z20/Z$7)</f>
        <v>0</v>
      </c>
      <c r="AB20" s="234">
        <f>'2 利润表'!$O$21</f>
        <v>178.92</v>
      </c>
      <c r="AC20" s="234">
        <f>IF(AB$7=0,0,AB20/AB$7)</f>
        <v>0</v>
      </c>
      <c r="AD20" s="234">
        <f>'2 利润表'!$P$21</f>
        <v>178.92</v>
      </c>
      <c r="AE20" s="234">
        <f>IF(AD$7=0,0,AD20/AD$7)</f>
        <v>0</v>
      </c>
      <c r="AF20" s="234">
        <f>'2 利润表'!$Q$21</f>
        <v>178.88</v>
      </c>
      <c r="AG20" s="234">
        <f>IF(AF$7=0,0,AF20/AF$7)</f>
        <v>0</v>
      </c>
      <c r="AH20" s="265">
        <f t="shared" si="18"/>
        <v>0</v>
      </c>
    </row>
    <row r="21" spans="1:34" s="220" customFormat="1" ht="15" customHeight="1">
      <c r="A21" s="401"/>
      <c r="B21" s="240" t="s">
        <v>507</v>
      </c>
      <c r="C21" s="397">
        <f>IF(C$9=0,0,C20/C$9)</f>
        <v>0</v>
      </c>
      <c r="D21" s="397"/>
      <c r="E21" s="239">
        <f t="shared" si="1"/>
        <v>0</v>
      </c>
      <c r="F21" s="397">
        <f t="shared" si="15"/>
        <v>0</v>
      </c>
      <c r="G21" s="397"/>
      <c r="H21" s="397">
        <f>IF(H$9=0,0,H20/H$9)</f>
        <v>0</v>
      </c>
      <c r="I21" s="397"/>
      <c r="J21" s="397">
        <f>IF(J$9=0,0,J20/J$9)</f>
        <v>0</v>
      </c>
      <c r="K21" s="397"/>
      <c r="L21" s="397">
        <f t="shared" ref="L21:P21" si="49">IF(L$9=0,0,L20/L$9)</f>
        <v>0</v>
      </c>
      <c r="M21" s="397"/>
      <c r="N21" s="397">
        <f t="shared" si="49"/>
        <v>0</v>
      </c>
      <c r="O21" s="397"/>
      <c r="P21" s="397">
        <f t="shared" si="49"/>
        <v>0</v>
      </c>
      <c r="Q21" s="397"/>
      <c r="R21" s="397">
        <f t="shared" ref="R21:V21" si="50">IF(R$9=0,0,R20/R$9)</f>
        <v>0</v>
      </c>
      <c r="S21" s="397"/>
      <c r="T21" s="397">
        <f t="shared" si="50"/>
        <v>0</v>
      </c>
      <c r="U21" s="397"/>
      <c r="V21" s="397">
        <f t="shared" si="50"/>
        <v>0</v>
      </c>
      <c r="W21" s="397"/>
      <c r="X21" s="397">
        <f t="shared" ref="X21:AB21" si="51">IF(X$9=0,0,X20/X$9)</f>
        <v>0</v>
      </c>
      <c r="Y21" s="397"/>
      <c r="Z21" s="397">
        <f t="shared" si="51"/>
        <v>0</v>
      </c>
      <c r="AA21" s="397"/>
      <c r="AB21" s="397">
        <f t="shared" si="51"/>
        <v>0</v>
      </c>
      <c r="AC21" s="397"/>
      <c r="AD21" s="397">
        <f t="shared" si="40"/>
        <v>0</v>
      </c>
      <c r="AE21" s="397"/>
      <c r="AF21" s="397">
        <f t="shared" si="41"/>
        <v>0</v>
      </c>
      <c r="AG21" s="397"/>
      <c r="AH21" s="267"/>
    </row>
    <row r="22" spans="1:34" s="219" customFormat="1" ht="15" customHeight="1">
      <c r="A22" s="400" t="s">
        <v>508</v>
      </c>
      <c r="B22" s="242" t="s">
        <v>509</v>
      </c>
      <c r="C22" s="241"/>
      <c r="D22" s="234">
        <f>IF(C$7=0,0,C22/C$7)</f>
        <v>0</v>
      </c>
      <c r="E22" s="235">
        <f t="shared" si="1"/>
        <v>0</v>
      </c>
      <c r="F22" s="234">
        <f t="shared" si="15"/>
        <v>459311.66000000015</v>
      </c>
      <c r="G22" s="234">
        <f>INDEX(J22:AG22,MATCH(--MID($A$3,9,2)&amp;"月",$J$5:$AG$5,)+1)</f>
        <v>0</v>
      </c>
      <c r="H22" s="234">
        <f t="shared" ref="H22" si="52">SUMIF($J$6:$AG$6,$H$6,J22:AG22)</f>
        <v>11760649.949999997</v>
      </c>
      <c r="I22" s="234">
        <f>IF(H$7=0,0,H22/H$7)</f>
        <v>0</v>
      </c>
      <c r="J22" s="234">
        <f>'2 利润表'!$F$22</f>
        <v>1156596.46</v>
      </c>
      <c r="K22" s="234">
        <f>IF(J$7=0,0,J22/J$7)</f>
        <v>0</v>
      </c>
      <c r="L22" s="234">
        <f>'2 利润表'!$G$22</f>
        <v>334972.74</v>
      </c>
      <c r="M22" s="234">
        <f>IF(L$7=0,0,L22/L$7)</f>
        <v>0</v>
      </c>
      <c r="N22" s="234">
        <f>'2 利润表'!$H$22</f>
        <v>1202203.93</v>
      </c>
      <c r="O22" s="234">
        <f>IF(N$7=0,0,N22/N$7)</f>
        <v>0</v>
      </c>
      <c r="P22" s="234">
        <f>'2 利润表'!$I$22</f>
        <v>553894.11</v>
      </c>
      <c r="Q22" s="234">
        <f>IF(P$7=0,0,P22/P$7)</f>
        <v>0</v>
      </c>
      <c r="R22" s="234">
        <f>'2 利润表'!$J$22</f>
        <v>233946.07</v>
      </c>
      <c r="S22" s="234">
        <f>IF(R$7=0,0,R22/R$7)</f>
        <v>0</v>
      </c>
      <c r="T22" s="234">
        <f>'2 利润表'!$K$22</f>
        <v>4548577.34</v>
      </c>
      <c r="U22" s="234">
        <f>IF(T$7=0,0,T22/T$7)</f>
        <v>0</v>
      </c>
      <c r="V22" s="234">
        <f>'2 利润表'!$L$22</f>
        <v>496221.33</v>
      </c>
      <c r="W22" s="234">
        <f>IF(V$7=0,0,V22/V$7)</f>
        <v>0</v>
      </c>
      <c r="X22" s="234">
        <f>'2 利润表'!$M$22</f>
        <v>580538.9299999997</v>
      </c>
      <c r="Y22" s="234">
        <f>IF(X$7=0,0,X22/X$7)</f>
        <v>0</v>
      </c>
      <c r="Z22" s="234">
        <f>'2 利润表'!$N$22</f>
        <v>2156186.8599999994</v>
      </c>
      <c r="AA22" s="234">
        <f>IF(Z$7=0,0,Z22/Z$7)</f>
        <v>0</v>
      </c>
      <c r="AB22" s="234">
        <f>'2 利润表'!$O$22</f>
        <v>-120767.58999999985</v>
      </c>
      <c r="AC22" s="234">
        <f>IF(AB$7=0,0,AB22/AB$7)</f>
        <v>0</v>
      </c>
      <c r="AD22" s="234">
        <f>'2 利润表'!$P$22</f>
        <v>158968.10999999999</v>
      </c>
      <c r="AE22" s="234">
        <f>IF(AD$7=0,0,AD22/AD$7)</f>
        <v>0</v>
      </c>
      <c r="AF22" s="234">
        <f>'2 利润表'!$Q$22</f>
        <v>459311.66000000015</v>
      </c>
      <c r="AG22" s="234">
        <f>IF(AF$7=0,0,AF22/AF$7)</f>
        <v>0</v>
      </c>
      <c r="AH22" s="265">
        <f t="shared" si="18"/>
        <v>0</v>
      </c>
    </row>
    <row r="23" spans="1:34" s="220" customFormat="1" ht="15" customHeight="1">
      <c r="A23" s="401"/>
      <c r="B23" s="243" t="s">
        <v>510</v>
      </c>
      <c r="C23" s="397">
        <f>IF(C$9=0,0,C22/C$9)</f>
        <v>0</v>
      </c>
      <c r="D23" s="397"/>
      <c r="E23" s="239">
        <f t="shared" si="1"/>
        <v>0</v>
      </c>
      <c r="F23" s="397">
        <f t="shared" si="15"/>
        <v>0</v>
      </c>
      <c r="G23" s="397"/>
      <c r="H23" s="397">
        <f>IF(H$9=0,0,H22/H$9)</f>
        <v>0</v>
      </c>
      <c r="I23" s="397"/>
      <c r="J23" s="397">
        <f>IF(J$9=0,0,J22/J$9)</f>
        <v>0</v>
      </c>
      <c r="K23" s="397"/>
      <c r="L23" s="397">
        <f t="shared" ref="L23:P23" si="53">IF(L$9=0,0,L22/L$9)</f>
        <v>0</v>
      </c>
      <c r="M23" s="397"/>
      <c r="N23" s="397">
        <f t="shared" si="53"/>
        <v>0</v>
      </c>
      <c r="O23" s="397"/>
      <c r="P23" s="397">
        <f t="shared" si="53"/>
        <v>0</v>
      </c>
      <c r="Q23" s="397"/>
      <c r="R23" s="397">
        <f t="shared" ref="R23:V23" si="54">IF(R$9=0,0,R22/R$9)</f>
        <v>0</v>
      </c>
      <c r="S23" s="397"/>
      <c r="T23" s="397">
        <f t="shared" si="54"/>
        <v>0</v>
      </c>
      <c r="U23" s="397"/>
      <c r="V23" s="397">
        <f t="shared" si="54"/>
        <v>0</v>
      </c>
      <c r="W23" s="397"/>
      <c r="X23" s="397">
        <f t="shared" ref="X23:AB23" si="55">IF(X$9=0,0,X22/X$9)</f>
        <v>0</v>
      </c>
      <c r="Y23" s="397"/>
      <c r="Z23" s="397">
        <f t="shared" si="55"/>
        <v>0</v>
      </c>
      <c r="AA23" s="397"/>
      <c r="AB23" s="397">
        <f t="shared" si="55"/>
        <v>0</v>
      </c>
      <c r="AC23" s="397"/>
      <c r="AD23" s="397">
        <f t="shared" si="40"/>
        <v>0</v>
      </c>
      <c r="AE23" s="397"/>
      <c r="AF23" s="397">
        <f t="shared" si="41"/>
        <v>0</v>
      </c>
      <c r="AG23" s="397"/>
      <c r="AH23" s="267"/>
    </row>
    <row r="24" spans="1:34" s="219" customFormat="1" ht="15" customHeight="1">
      <c r="A24" s="400" t="s">
        <v>511</v>
      </c>
      <c r="B24" s="238" t="s">
        <v>512</v>
      </c>
      <c r="C24" s="233"/>
      <c r="D24" s="234">
        <f t="shared" ref="D24:D29" si="56">IF(C$7=0,0,C24/C$7)</f>
        <v>0</v>
      </c>
      <c r="E24" s="235">
        <f t="shared" si="1"/>
        <v>0</v>
      </c>
      <c r="F24" s="234">
        <f t="shared" si="15"/>
        <v>-1534.4799999999996</v>
      </c>
      <c r="G24" s="234">
        <f t="shared" ref="G24:G29" si="57">INDEX(J24:AG24,MATCH(--MID($A$3,9,2)&amp;"月",$J$5:$AG$5,)+1)</f>
        <v>0</v>
      </c>
      <c r="H24" s="234">
        <f t="shared" ref="H24:H26" si="58">SUMIF($J$6:$AG$6,$H$6,J24:AG24)</f>
        <v>-16072</v>
      </c>
      <c r="I24" s="234">
        <f t="shared" ref="I24:I29" si="59">IF(H$7=0,0,H24/H$7)</f>
        <v>0</v>
      </c>
      <c r="J24" s="234">
        <f>'2 利润表'!$F23</f>
        <v>794.98</v>
      </c>
      <c r="K24" s="234">
        <f t="shared" ref="K24:K29" si="60">IF(J$7=0,0,J24/J$7)</f>
        <v>0</v>
      </c>
      <c r="L24" s="234">
        <f>'2 利润表'!$G23</f>
        <v>33</v>
      </c>
      <c r="M24" s="234">
        <f t="shared" ref="M24:M29" si="61">IF(L$7=0,0,L24/L$7)</f>
        <v>0</v>
      </c>
      <c r="N24" s="234">
        <f>'2 利润表'!$H23</f>
        <v>-6919.22</v>
      </c>
      <c r="O24" s="234">
        <f t="shared" ref="O24:O29" si="62">IF(N$7=0,0,N24/N$7)</f>
        <v>0</v>
      </c>
      <c r="P24" s="234">
        <f>'2 利润表'!$I23</f>
        <v>104</v>
      </c>
      <c r="Q24" s="234">
        <f t="shared" ref="Q24:Q29" si="63">IF(P$7=0,0,P24/P$7)</f>
        <v>0</v>
      </c>
      <c r="R24" s="234">
        <f>'2 利润表'!$J23</f>
        <v>179.89</v>
      </c>
      <c r="S24" s="234">
        <f t="shared" ref="S24:S29" si="64">IF(R$7=0,0,R24/R$7)</f>
        <v>0</v>
      </c>
      <c r="T24" s="234">
        <f>'2 利润表'!$K23</f>
        <v>-6790.26</v>
      </c>
      <c r="U24" s="234">
        <f t="shared" ref="U24:U29" si="65">IF(T$7=0,0,T24/T$7)</f>
        <v>0</v>
      </c>
      <c r="V24" s="234">
        <f>'2 利润表'!$L23</f>
        <v>236</v>
      </c>
      <c r="W24" s="234">
        <f t="shared" ref="W24:W29" si="66">IF(V$7=0,0,V24/V$7)</f>
        <v>0</v>
      </c>
      <c r="X24" s="234">
        <f>'2 利润表'!$M23</f>
        <v>201</v>
      </c>
      <c r="Y24" s="234">
        <f t="shared" ref="Y24:Y29" si="67">IF(X$7=0,0,X24/X$7)</f>
        <v>0</v>
      </c>
      <c r="Z24" s="234">
        <f>'2 利润表'!$N23</f>
        <v>-2415.91</v>
      </c>
      <c r="AA24" s="234">
        <f t="shared" ref="AA24:AA29" si="68">IF(Z$7=0,0,Z24/Z$7)</f>
        <v>0</v>
      </c>
      <c r="AB24" s="234">
        <f>'2 利润表'!$O23</f>
        <v>25</v>
      </c>
      <c r="AC24" s="234">
        <f t="shared" ref="AC24:AC29" si="69">IF(AB$7=0,0,AB24/AB$7)</f>
        <v>0</v>
      </c>
      <c r="AD24" s="234">
        <f>'2 利润表'!$P23</f>
        <v>14</v>
      </c>
      <c r="AE24" s="234">
        <f t="shared" ref="AE24:AE29" si="70">IF(AD$7=0,0,AD24/AD$7)</f>
        <v>0</v>
      </c>
      <c r="AF24" s="234">
        <f>'2 利润表'!$Q23</f>
        <v>-1534.4799999999996</v>
      </c>
      <c r="AG24" s="234">
        <f t="shared" ref="AG24:AG29" si="71">IF(AF$7=0,0,AF24/AF$7)</f>
        <v>0</v>
      </c>
      <c r="AH24" s="265">
        <f t="shared" si="18"/>
        <v>0</v>
      </c>
    </row>
    <row r="25" spans="1:34" s="219" customFormat="1" ht="15" customHeight="1">
      <c r="A25" s="401"/>
      <c r="B25" s="244" t="s">
        <v>513</v>
      </c>
      <c r="C25" s="233"/>
      <c r="D25" s="234">
        <f t="shared" si="56"/>
        <v>0</v>
      </c>
      <c r="E25" s="235">
        <f t="shared" si="1"/>
        <v>0</v>
      </c>
      <c r="F25" s="234">
        <f t="shared" si="15"/>
        <v>0</v>
      </c>
      <c r="G25" s="234">
        <f t="shared" si="57"/>
        <v>0</v>
      </c>
      <c r="H25" s="234">
        <f t="shared" si="58"/>
        <v>0</v>
      </c>
      <c r="I25" s="234">
        <f t="shared" si="59"/>
        <v>0</v>
      </c>
      <c r="J25" s="234">
        <f>'2 利润表'!$F24</f>
        <v>0</v>
      </c>
      <c r="K25" s="234">
        <f t="shared" si="60"/>
        <v>0</v>
      </c>
      <c r="L25" s="234">
        <f>'2 利润表'!$G24</f>
        <v>0</v>
      </c>
      <c r="M25" s="234">
        <f t="shared" si="61"/>
        <v>0</v>
      </c>
      <c r="N25" s="234">
        <f>'2 利润表'!$H24</f>
        <v>0</v>
      </c>
      <c r="O25" s="234">
        <f t="shared" si="62"/>
        <v>0</v>
      </c>
      <c r="P25" s="234">
        <f>'2 利润表'!$I24</f>
        <v>0</v>
      </c>
      <c r="Q25" s="234">
        <f t="shared" si="63"/>
        <v>0</v>
      </c>
      <c r="R25" s="234">
        <f>'2 利润表'!$J24</f>
        <v>0</v>
      </c>
      <c r="S25" s="234">
        <f t="shared" si="64"/>
        <v>0</v>
      </c>
      <c r="T25" s="234">
        <f>'2 利润表'!$K24</f>
        <v>0</v>
      </c>
      <c r="U25" s="234">
        <f t="shared" si="65"/>
        <v>0</v>
      </c>
      <c r="V25" s="234">
        <f>'2 利润表'!$L24</f>
        <v>0</v>
      </c>
      <c r="W25" s="234">
        <f t="shared" si="66"/>
        <v>0</v>
      </c>
      <c r="X25" s="234">
        <f>'2 利润表'!$M24</f>
        <v>0</v>
      </c>
      <c r="Y25" s="234">
        <f t="shared" si="67"/>
        <v>0</v>
      </c>
      <c r="Z25" s="234">
        <f>'2 利润表'!$N24</f>
        <v>0</v>
      </c>
      <c r="AA25" s="234">
        <f t="shared" si="68"/>
        <v>0</v>
      </c>
      <c r="AB25" s="234">
        <f>'2 利润表'!$O24</f>
        <v>0</v>
      </c>
      <c r="AC25" s="234">
        <f t="shared" si="69"/>
        <v>0</v>
      </c>
      <c r="AD25" s="234">
        <f>'2 利润表'!$P24</f>
        <v>0</v>
      </c>
      <c r="AE25" s="234">
        <f t="shared" si="70"/>
        <v>0</v>
      </c>
      <c r="AF25" s="234">
        <f>'2 利润表'!$Q24</f>
        <v>0</v>
      </c>
      <c r="AG25" s="234">
        <f t="shared" si="71"/>
        <v>0</v>
      </c>
      <c r="AH25" s="265">
        <f t="shared" si="18"/>
        <v>0</v>
      </c>
    </row>
    <row r="26" spans="1:34" s="219" customFormat="1" ht="15" customHeight="1">
      <c r="A26" s="231">
        <v>6</v>
      </c>
      <c r="B26" s="245" t="s">
        <v>514</v>
      </c>
      <c r="C26" s="233"/>
      <c r="D26" s="234">
        <f t="shared" si="56"/>
        <v>0</v>
      </c>
      <c r="E26" s="235">
        <f t="shared" si="1"/>
        <v>0</v>
      </c>
      <c r="F26" s="234">
        <f t="shared" si="15"/>
        <v>0</v>
      </c>
      <c r="G26" s="234">
        <f t="shared" si="57"/>
        <v>0</v>
      </c>
      <c r="H26" s="234">
        <f t="shared" si="58"/>
        <v>37473</v>
      </c>
      <c r="I26" s="234">
        <f t="shared" si="59"/>
        <v>0</v>
      </c>
      <c r="J26" s="234">
        <f>'2 利润表'!$F$33-'2 利润表'!$F$34</f>
        <v>0</v>
      </c>
      <c r="K26" s="234">
        <f t="shared" si="60"/>
        <v>0</v>
      </c>
      <c r="L26" s="234">
        <f>'2 利润表'!$G$33-'2 利润表'!$G$34</f>
        <v>0</v>
      </c>
      <c r="M26" s="234">
        <f t="shared" si="61"/>
        <v>0</v>
      </c>
      <c r="N26" s="234">
        <f>'2 利润表'!$H$33-'2 利润表'!$H$34</f>
        <v>0</v>
      </c>
      <c r="O26" s="234">
        <f t="shared" si="62"/>
        <v>0</v>
      </c>
      <c r="P26" s="234">
        <f>'2 利润表'!$I$33-'2 利润表'!$I$34</f>
        <v>37473</v>
      </c>
      <c r="Q26" s="234">
        <f t="shared" si="63"/>
        <v>0</v>
      </c>
      <c r="R26" s="234">
        <f>'2 利润表'!$J$33-'2 利润表'!$J$34</f>
        <v>0</v>
      </c>
      <c r="S26" s="234">
        <f t="shared" si="64"/>
        <v>0</v>
      </c>
      <c r="T26" s="234">
        <f>'2 利润表'!$K$33-'2 利润表'!$K$34</f>
        <v>0</v>
      </c>
      <c r="U26" s="234">
        <f t="shared" si="65"/>
        <v>0</v>
      </c>
      <c r="V26" s="234">
        <f>'2 利润表'!$L$33-'2 利润表'!$L$34</f>
        <v>0</v>
      </c>
      <c r="W26" s="234">
        <f t="shared" si="66"/>
        <v>0</v>
      </c>
      <c r="X26" s="234">
        <f>'2 利润表'!$M$33-'2 利润表'!$M$34</f>
        <v>0</v>
      </c>
      <c r="Y26" s="234">
        <f t="shared" si="67"/>
        <v>0</v>
      </c>
      <c r="Z26" s="234">
        <f>'2 利润表'!$N$33-'2 利润表'!$N$34</f>
        <v>0</v>
      </c>
      <c r="AA26" s="234">
        <f t="shared" si="68"/>
        <v>0</v>
      </c>
      <c r="AB26" s="234">
        <f>'2 利润表'!$O$33-'2 利润表'!$O$34</f>
        <v>0</v>
      </c>
      <c r="AC26" s="234">
        <f t="shared" si="69"/>
        <v>0</v>
      </c>
      <c r="AD26" s="234">
        <f>'2 利润表'!$P$33-'2 利润表'!$P$34</f>
        <v>0</v>
      </c>
      <c r="AE26" s="234">
        <f t="shared" si="70"/>
        <v>0</v>
      </c>
      <c r="AF26" s="234">
        <f>'2 利润表'!$Q$33-'2 利润表'!$Q$34</f>
        <v>0</v>
      </c>
      <c r="AG26" s="234">
        <f t="shared" si="71"/>
        <v>0</v>
      </c>
      <c r="AH26" s="265">
        <f t="shared" si="18"/>
        <v>0</v>
      </c>
    </row>
    <row r="27" spans="1:34" s="221" customFormat="1" ht="15" customHeight="1">
      <c r="A27" s="227"/>
      <c r="B27" s="246" t="s">
        <v>515</v>
      </c>
      <c r="C27" s="229">
        <f>C17-C19+C26</f>
        <v>0</v>
      </c>
      <c r="D27" s="229">
        <f t="shared" si="56"/>
        <v>0</v>
      </c>
      <c r="E27" s="230">
        <f t="shared" si="1"/>
        <v>0</v>
      </c>
      <c r="F27" s="229">
        <f t="shared" si="15"/>
        <v>-457956.06000000017</v>
      </c>
      <c r="G27" s="229">
        <f t="shared" si="57"/>
        <v>0</v>
      </c>
      <c r="H27" s="229">
        <f>H17-H19+H26</f>
        <v>-12261641.779999997</v>
      </c>
      <c r="I27" s="229">
        <f t="shared" si="59"/>
        <v>0</v>
      </c>
      <c r="J27" s="229">
        <f>J17-J19+J26</f>
        <v>-1338719.2999999998</v>
      </c>
      <c r="K27" s="229">
        <f t="shared" si="60"/>
        <v>0</v>
      </c>
      <c r="L27" s="229">
        <f>L17-L19+L26</f>
        <v>-426132.19</v>
      </c>
      <c r="M27" s="229">
        <f t="shared" si="61"/>
        <v>0</v>
      </c>
      <c r="N27" s="229">
        <f>N17-N19+N26</f>
        <v>-1284031.1599999999</v>
      </c>
      <c r="O27" s="229">
        <f t="shared" si="62"/>
        <v>0</v>
      </c>
      <c r="P27" s="229">
        <f>P17-P19+P26</f>
        <v>-571761.16</v>
      </c>
      <c r="Q27" s="229">
        <f t="shared" si="63"/>
        <v>0</v>
      </c>
      <c r="R27" s="229">
        <f>R17-R19+R26</f>
        <v>-312075.59000000003</v>
      </c>
      <c r="S27" s="229">
        <f t="shared" si="64"/>
        <v>0</v>
      </c>
      <c r="T27" s="229">
        <f>T17-T19+T26</f>
        <v>-4600863.99</v>
      </c>
      <c r="U27" s="229">
        <f t="shared" si="65"/>
        <v>0</v>
      </c>
      <c r="V27" s="229">
        <f>V17-V19+V26</f>
        <v>-496636.25</v>
      </c>
      <c r="W27" s="229">
        <f t="shared" si="66"/>
        <v>0</v>
      </c>
      <c r="X27" s="229">
        <f>X17-X19+X26</f>
        <v>-580918.84999999974</v>
      </c>
      <c r="Y27" s="229">
        <f t="shared" si="67"/>
        <v>0</v>
      </c>
      <c r="Z27" s="229">
        <f>Z17-Z19+Z26</f>
        <v>-2153949.8699999992</v>
      </c>
      <c r="AA27" s="229">
        <f t="shared" si="68"/>
        <v>0</v>
      </c>
      <c r="AB27" s="229">
        <f>AB17-AB19+AB26</f>
        <v>120563.66999999985</v>
      </c>
      <c r="AC27" s="229">
        <f t="shared" si="69"/>
        <v>0</v>
      </c>
      <c r="AD27" s="229">
        <f>AD17-AD19+AD26</f>
        <v>-159161.03</v>
      </c>
      <c r="AE27" s="229">
        <f t="shared" si="70"/>
        <v>0</v>
      </c>
      <c r="AF27" s="229">
        <f>AF17-AF19+AF26</f>
        <v>-457956.06000000017</v>
      </c>
      <c r="AG27" s="229">
        <f t="shared" si="71"/>
        <v>0</v>
      </c>
      <c r="AH27" s="265">
        <f t="shared" si="18"/>
        <v>0</v>
      </c>
    </row>
    <row r="28" spans="1:34" s="219" customFormat="1" ht="15" customHeight="1">
      <c r="A28" s="231">
        <v>7</v>
      </c>
      <c r="B28" s="238" t="s">
        <v>516</v>
      </c>
      <c r="C28" s="234">
        <f t="shared" ref="C28:H28" si="72">C27*25%</f>
        <v>0</v>
      </c>
      <c r="D28" s="234">
        <f t="shared" si="56"/>
        <v>0</v>
      </c>
      <c r="E28" s="247">
        <f t="shared" si="1"/>
        <v>0</v>
      </c>
      <c r="F28" s="234">
        <f t="shared" si="15"/>
        <v>-114489.01500000004</v>
      </c>
      <c r="G28" s="234">
        <f t="shared" si="57"/>
        <v>0</v>
      </c>
      <c r="H28" s="234">
        <f t="shared" si="72"/>
        <v>-3065410.4449999994</v>
      </c>
      <c r="I28" s="234">
        <f t="shared" si="59"/>
        <v>0</v>
      </c>
      <c r="J28" s="234">
        <f t="shared" ref="J28:N28" si="73">J27*25%</f>
        <v>-334679.82499999995</v>
      </c>
      <c r="K28" s="234">
        <f t="shared" si="60"/>
        <v>0</v>
      </c>
      <c r="L28" s="234">
        <f t="shared" si="73"/>
        <v>-106533.0475</v>
      </c>
      <c r="M28" s="234">
        <f t="shared" si="61"/>
        <v>0</v>
      </c>
      <c r="N28" s="234">
        <f t="shared" si="73"/>
        <v>-321007.78999999998</v>
      </c>
      <c r="O28" s="234">
        <f t="shared" si="62"/>
        <v>0</v>
      </c>
      <c r="P28" s="234">
        <f t="shared" ref="P28:V28" si="74">P27*25%</f>
        <v>-142940.29</v>
      </c>
      <c r="Q28" s="234">
        <f t="shared" si="63"/>
        <v>0</v>
      </c>
      <c r="R28" s="234">
        <f t="shared" si="74"/>
        <v>-78018.897500000006</v>
      </c>
      <c r="S28" s="234">
        <f t="shared" si="64"/>
        <v>0</v>
      </c>
      <c r="T28" s="234">
        <f t="shared" si="74"/>
        <v>-1150215.9975000001</v>
      </c>
      <c r="U28" s="234">
        <f t="shared" si="65"/>
        <v>0</v>
      </c>
      <c r="V28" s="234">
        <f t="shared" si="74"/>
        <v>-124159.0625</v>
      </c>
      <c r="W28" s="234">
        <f t="shared" si="66"/>
        <v>0</v>
      </c>
      <c r="X28" s="234">
        <f t="shared" ref="X28:Z28" si="75">X27*25%</f>
        <v>-145229.71249999994</v>
      </c>
      <c r="Y28" s="234">
        <f t="shared" si="67"/>
        <v>0</v>
      </c>
      <c r="Z28" s="234">
        <f t="shared" si="75"/>
        <v>-538487.4674999998</v>
      </c>
      <c r="AA28" s="234">
        <f t="shared" si="68"/>
        <v>0</v>
      </c>
      <c r="AB28" s="234">
        <f t="shared" ref="AB28:AF28" si="76">AB27*25%</f>
        <v>30140.917499999963</v>
      </c>
      <c r="AC28" s="234">
        <f t="shared" si="69"/>
        <v>0</v>
      </c>
      <c r="AD28" s="234">
        <f t="shared" si="76"/>
        <v>-39790.2575</v>
      </c>
      <c r="AE28" s="234">
        <f t="shared" si="70"/>
        <v>0</v>
      </c>
      <c r="AF28" s="234">
        <f t="shared" si="76"/>
        <v>-114489.01500000004</v>
      </c>
      <c r="AG28" s="234">
        <f t="shared" si="71"/>
        <v>0</v>
      </c>
      <c r="AH28" s="265">
        <f t="shared" si="18"/>
        <v>0</v>
      </c>
    </row>
    <row r="29" spans="1:34" s="221" customFormat="1" ht="15" customHeight="1">
      <c r="A29" s="227"/>
      <c r="B29" s="246" t="s">
        <v>517</v>
      </c>
      <c r="C29" s="229">
        <f t="shared" ref="C29" si="77">C27-C28</f>
        <v>0</v>
      </c>
      <c r="D29" s="229">
        <f t="shared" si="56"/>
        <v>0</v>
      </c>
      <c r="E29" s="230">
        <f t="shared" si="1"/>
        <v>0</v>
      </c>
      <c r="F29" s="229">
        <f t="shared" si="15"/>
        <v>-343467.04500000016</v>
      </c>
      <c r="G29" s="229">
        <f t="shared" si="57"/>
        <v>0</v>
      </c>
      <c r="H29" s="229">
        <f t="shared" ref="H29:J29" si="78">H27-H28</f>
        <v>-9196231.3349999972</v>
      </c>
      <c r="I29" s="229">
        <f t="shared" si="59"/>
        <v>0</v>
      </c>
      <c r="J29" s="229">
        <f t="shared" si="78"/>
        <v>-1004039.4749999999</v>
      </c>
      <c r="K29" s="229">
        <f t="shared" si="60"/>
        <v>0</v>
      </c>
      <c r="L29" s="229">
        <f t="shared" ref="L29:P29" si="79">L27-L28</f>
        <v>-319599.14250000002</v>
      </c>
      <c r="M29" s="229">
        <f t="shared" si="61"/>
        <v>0</v>
      </c>
      <c r="N29" s="229">
        <f t="shared" si="79"/>
        <v>-963023.36999999988</v>
      </c>
      <c r="O29" s="229">
        <f t="shared" si="62"/>
        <v>0</v>
      </c>
      <c r="P29" s="229">
        <f t="shared" si="79"/>
        <v>-428820.87</v>
      </c>
      <c r="Q29" s="229">
        <f t="shared" si="63"/>
        <v>0</v>
      </c>
      <c r="R29" s="229">
        <f t="shared" ref="R29:V29" si="80">R27-R28</f>
        <v>-234056.6925</v>
      </c>
      <c r="S29" s="229">
        <f t="shared" si="64"/>
        <v>0</v>
      </c>
      <c r="T29" s="229">
        <f t="shared" si="80"/>
        <v>-3450647.9925000002</v>
      </c>
      <c r="U29" s="229">
        <f t="shared" si="65"/>
        <v>0</v>
      </c>
      <c r="V29" s="229">
        <f t="shared" si="80"/>
        <v>-372477.1875</v>
      </c>
      <c r="W29" s="229">
        <f t="shared" si="66"/>
        <v>0</v>
      </c>
      <c r="X29" s="229">
        <f t="shared" ref="X29:AB29" si="81">X27-X28</f>
        <v>-435689.13749999984</v>
      </c>
      <c r="Y29" s="229">
        <f t="shared" si="67"/>
        <v>0</v>
      </c>
      <c r="Z29" s="229">
        <f t="shared" si="81"/>
        <v>-1615462.4024999994</v>
      </c>
      <c r="AA29" s="229">
        <f t="shared" si="68"/>
        <v>0</v>
      </c>
      <c r="AB29" s="229">
        <f t="shared" si="81"/>
        <v>90422.752499999886</v>
      </c>
      <c r="AC29" s="229">
        <f t="shared" si="69"/>
        <v>0</v>
      </c>
      <c r="AD29" s="229">
        <f>AD27-AD28</f>
        <v>-119370.77249999999</v>
      </c>
      <c r="AE29" s="229">
        <f t="shared" si="70"/>
        <v>0</v>
      </c>
      <c r="AF29" s="229">
        <f>AF27-AF28</f>
        <v>-343467.04500000016</v>
      </c>
      <c r="AG29" s="229">
        <f t="shared" si="71"/>
        <v>0</v>
      </c>
      <c r="AH29" s="265">
        <f t="shared" si="18"/>
        <v>0</v>
      </c>
    </row>
    <row r="30" spans="1:34" s="221" customFormat="1" ht="15" customHeight="1">
      <c r="A30" s="227"/>
      <c r="B30" s="236" t="s">
        <v>518</v>
      </c>
      <c r="C30" s="397">
        <f>IF(C8=0,0,C29/C8)</f>
        <v>0</v>
      </c>
      <c r="D30" s="397"/>
      <c r="E30" s="239">
        <f t="shared" si="1"/>
        <v>0</v>
      </c>
      <c r="F30" s="397">
        <f t="shared" si="15"/>
        <v>0</v>
      </c>
      <c r="G30" s="397"/>
      <c r="H30" s="397">
        <f>IF(H8=0,0,H29/H8)</f>
        <v>0</v>
      </c>
      <c r="I30" s="397"/>
      <c r="J30" s="397">
        <f>IF(J8=0,0,J29/J8)</f>
        <v>0</v>
      </c>
      <c r="K30" s="397"/>
      <c r="L30" s="397">
        <f>IF(L8=0,0,L29/L8)</f>
        <v>0</v>
      </c>
      <c r="M30" s="397"/>
      <c r="N30" s="397">
        <f>IF(N8=0,0,N29/N8)</f>
        <v>0</v>
      </c>
      <c r="O30" s="397"/>
      <c r="P30" s="397">
        <f>IF(P8=0,0,P29/P8)</f>
        <v>0</v>
      </c>
      <c r="Q30" s="397"/>
      <c r="R30" s="397">
        <f>IF(R8=0,0,R29/R8)</f>
        <v>0</v>
      </c>
      <c r="S30" s="397"/>
      <c r="T30" s="397">
        <f>IF(T8=0,0,T29/T8)</f>
        <v>0</v>
      </c>
      <c r="U30" s="397"/>
      <c r="V30" s="397">
        <f>IF(V8=0,0,V29/V8)</f>
        <v>0</v>
      </c>
      <c r="W30" s="397"/>
      <c r="X30" s="397">
        <f>IF(X8=0,0,X29/X8)</f>
        <v>0</v>
      </c>
      <c r="Y30" s="397"/>
      <c r="Z30" s="397">
        <f>IF(Z8=0,0,Z29/Z8)</f>
        <v>0</v>
      </c>
      <c r="AA30" s="397"/>
      <c r="AB30" s="397">
        <f>IF(AB8=0,0,AB29/AB8)</f>
        <v>0</v>
      </c>
      <c r="AC30" s="397"/>
      <c r="AD30" s="397">
        <f>IF(AD8=0,0,AD29/AD8)</f>
        <v>0</v>
      </c>
      <c r="AE30" s="397"/>
      <c r="AF30" s="397">
        <f>IF(AF8=0,0,AF29/AF8)</f>
        <v>0</v>
      </c>
      <c r="AG30" s="397"/>
      <c r="AH30" s="266"/>
    </row>
    <row r="31" spans="1:34" s="220" customFormat="1" ht="15" customHeight="1">
      <c r="A31" s="227">
        <v>8</v>
      </c>
      <c r="B31" s="240" t="s">
        <v>519</v>
      </c>
      <c r="C31" s="229">
        <f t="shared" ref="C31" si="82">SUM(C32:C35)</f>
        <v>0</v>
      </c>
      <c r="D31" s="229">
        <f>IF(C$7=0,0,C31/C$7)</f>
        <v>0</v>
      </c>
      <c r="E31" s="230">
        <f t="shared" si="1"/>
        <v>0</v>
      </c>
      <c r="F31" s="229">
        <f t="shared" si="15"/>
        <v>0</v>
      </c>
      <c r="G31" s="229">
        <f t="shared" ref="G31:G36" si="83">INDEX(J31:AG31,MATCH(--MID($A$3,9,2)&amp;"月",$J$5:$AG$5,)+1)</f>
        <v>0</v>
      </c>
      <c r="H31" s="229">
        <f t="shared" ref="H31:J31" si="84">SUM(H32:H35)</f>
        <v>0</v>
      </c>
      <c r="I31" s="229">
        <f>IF(H$7=0,0,H31/H$7)</f>
        <v>0</v>
      </c>
      <c r="J31" s="229">
        <f t="shared" si="84"/>
        <v>0</v>
      </c>
      <c r="K31" s="229">
        <f>IF(J$7=0,0,J31/J$7)</f>
        <v>0</v>
      </c>
      <c r="L31" s="229">
        <f t="shared" ref="L31:P31" si="85">SUM(L32:L35)</f>
        <v>0</v>
      </c>
      <c r="M31" s="229">
        <f>IF(L$7=0,0,L31/L$7)</f>
        <v>0</v>
      </c>
      <c r="N31" s="229">
        <f t="shared" si="85"/>
        <v>0</v>
      </c>
      <c r="O31" s="229">
        <f>IF(N$7=0,0,N31/N$7)</f>
        <v>0</v>
      </c>
      <c r="P31" s="229">
        <f t="shared" si="85"/>
        <v>0</v>
      </c>
      <c r="Q31" s="229">
        <f>IF(P$7=0,0,P31/P$7)</f>
        <v>0</v>
      </c>
      <c r="R31" s="229">
        <f t="shared" ref="R31:V31" si="86">SUM(R32:R35)</f>
        <v>0</v>
      </c>
      <c r="S31" s="229">
        <f>IF(R$7=0,0,R31/R$7)</f>
        <v>0</v>
      </c>
      <c r="T31" s="229">
        <f t="shared" si="86"/>
        <v>0</v>
      </c>
      <c r="U31" s="229">
        <f>IF(T$7=0,0,T31/T$7)</f>
        <v>0</v>
      </c>
      <c r="V31" s="229">
        <f t="shared" si="86"/>
        <v>0</v>
      </c>
      <c r="W31" s="229">
        <f>IF(V$7=0,0,V31/V$7)</f>
        <v>0</v>
      </c>
      <c r="X31" s="229">
        <f t="shared" ref="X31:AB31" si="87">SUM(X32:X35)</f>
        <v>0</v>
      </c>
      <c r="Y31" s="229">
        <f>IF(X$7=0,0,X31/X$7)</f>
        <v>0</v>
      </c>
      <c r="Z31" s="229">
        <f t="shared" si="87"/>
        <v>0</v>
      </c>
      <c r="AA31" s="229">
        <f>IF(Z$7=0,0,Z31/Z$7)</f>
        <v>0</v>
      </c>
      <c r="AB31" s="229">
        <f t="shared" si="87"/>
        <v>0</v>
      </c>
      <c r="AC31" s="229">
        <f>IF(AB$7=0,0,AB31/AB$7)</f>
        <v>0</v>
      </c>
      <c r="AD31" s="229">
        <f>SUM(AD32:AD35)</f>
        <v>0</v>
      </c>
      <c r="AE31" s="229">
        <f>IF(AD$7=0,0,AD31/AD$7)</f>
        <v>0</v>
      </c>
      <c r="AF31" s="229">
        <f>SUM(AF32:AF35)</f>
        <v>0</v>
      </c>
      <c r="AG31" s="229">
        <f>IF(AF$7=0,0,AF31/AF$7)</f>
        <v>0</v>
      </c>
      <c r="AH31" s="265">
        <f t="shared" si="18"/>
        <v>0</v>
      </c>
    </row>
    <row r="32" spans="1:34" s="219" customFormat="1" ht="15.75" customHeight="1">
      <c r="A32" s="231">
        <v>8.1</v>
      </c>
      <c r="B32" s="245" t="s">
        <v>520</v>
      </c>
      <c r="C32" s="233"/>
      <c r="D32" s="234">
        <f>IF(C$7=0,0,C32/C$7)</f>
        <v>0</v>
      </c>
      <c r="E32" s="235">
        <f t="shared" si="1"/>
        <v>0</v>
      </c>
      <c r="F32" s="234">
        <f t="shared" si="15"/>
        <v>0</v>
      </c>
      <c r="G32" s="234">
        <f t="shared" si="83"/>
        <v>0</v>
      </c>
      <c r="H32" s="234">
        <f t="shared" ref="H32:H34" si="88">SUMIF($J$6:$AG$6,$H$6,J32:AG32)</f>
        <v>0</v>
      </c>
      <c r="I32" s="234">
        <f>IF(H$7=0,0,H32/H$7)</f>
        <v>0</v>
      </c>
      <c r="J32" s="233"/>
      <c r="K32" s="234">
        <f>IF(J$7=0,0,J32/J$7)</f>
        <v>0</v>
      </c>
      <c r="L32" s="233"/>
      <c r="M32" s="234">
        <f>IF(L$7=0,0,L32/L$7)</f>
        <v>0</v>
      </c>
      <c r="N32" s="233"/>
      <c r="O32" s="234">
        <f>IF(N$7=0,0,N32/N$7)</f>
        <v>0</v>
      </c>
      <c r="P32" s="233"/>
      <c r="Q32" s="234">
        <f>IF(P$7=0,0,P32/P$7)</f>
        <v>0</v>
      </c>
      <c r="R32" s="233"/>
      <c r="S32" s="234">
        <f>IF(R$7=0,0,R32/R$7)</f>
        <v>0</v>
      </c>
      <c r="T32" s="233"/>
      <c r="U32" s="234">
        <f>IF(T$7=0,0,T32/T$7)</f>
        <v>0</v>
      </c>
      <c r="V32" s="233"/>
      <c r="W32" s="234">
        <f>IF(V$7=0,0,V32/V$7)</f>
        <v>0</v>
      </c>
      <c r="X32" s="233"/>
      <c r="Y32" s="234">
        <f>IF(X$7=0,0,X32/X$7)</f>
        <v>0</v>
      </c>
      <c r="Z32" s="233"/>
      <c r="AA32" s="234">
        <f>IF(Z$7=0,0,Z32/Z$7)</f>
        <v>0</v>
      </c>
      <c r="AB32" s="233"/>
      <c r="AC32" s="234">
        <f>IF(AB$7=0,0,AB32/AB$7)</f>
        <v>0</v>
      </c>
      <c r="AD32" s="233"/>
      <c r="AE32" s="234">
        <f>IF(AD$7=0,0,AD32/AD$7)</f>
        <v>0</v>
      </c>
      <c r="AF32" s="233"/>
      <c r="AG32" s="234">
        <f>IF(AF$7=0,0,AF32/AF$7)</f>
        <v>0</v>
      </c>
      <c r="AH32" s="265">
        <f t="shared" si="18"/>
        <v>0</v>
      </c>
    </row>
    <row r="33" spans="1:34" s="219" customFormat="1" ht="15" customHeight="1">
      <c r="A33" s="231">
        <v>8.1999999999999993</v>
      </c>
      <c r="B33" s="245" t="s">
        <v>521</v>
      </c>
      <c r="C33" s="233"/>
      <c r="D33" s="234">
        <f>IF(C$7=0,0,C33/C$7)</f>
        <v>0</v>
      </c>
      <c r="E33" s="235">
        <f t="shared" si="1"/>
        <v>0</v>
      </c>
      <c r="F33" s="234">
        <f t="shared" si="15"/>
        <v>0</v>
      </c>
      <c r="G33" s="234">
        <f t="shared" si="83"/>
        <v>0</v>
      </c>
      <c r="H33" s="234">
        <f t="shared" si="88"/>
        <v>0</v>
      </c>
      <c r="I33" s="234">
        <f>IF(H$7=0,0,H33/H$7)</f>
        <v>0</v>
      </c>
      <c r="J33" s="233"/>
      <c r="K33" s="234">
        <f>IF(J$7=0,0,J33/J$7)</f>
        <v>0</v>
      </c>
      <c r="L33" s="233"/>
      <c r="M33" s="234">
        <f>IF(L$7=0,0,L33/L$7)</f>
        <v>0</v>
      </c>
      <c r="N33" s="233"/>
      <c r="O33" s="234">
        <f>IF(N$7=0,0,N33/N$7)</f>
        <v>0</v>
      </c>
      <c r="P33" s="233"/>
      <c r="Q33" s="234">
        <f>IF(P$7=0,0,P33/P$7)</f>
        <v>0</v>
      </c>
      <c r="R33" s="233"/>
      <c r="S33" s="234">
        <f>IF(R$7=0,0,R33/R$7)</f>
        <v>0</v>
      </c>
      <c r="T33" s="233"/>
      <c r="U33" s="234">
        <f>IF(T$7=0,0,T33/T$7)</f>
        <v>0</v>
      </c>
      <c r="V33" s="233"/>
      <c r="W33" s="234">
        <f>IF(V$7=0,0,V33/V$7)</f>
        <v>0</v>
      </c>
      <c r="X33" s="233"/>
      <c r="Y33" s="234">
        <f>IF(X$7=0,0,X33/X$7)</f>
        <v>0</v>
      </c>
      <c r="Z33" s="233"/>
      <c r="AA33" s="234">
        <f>IF(Z$7=0,0,Z33/Z$7)</f>
        <v>0</v>
      </c>
      <c r="AB33" s="233"/>
      <c r="AC33" s="234">
        <f>IF(AB$7=0,0,AB33/AB$7)</f>
        <v>0</v>
      </c>
      <c r="AD33" s="233"/>
      <c r="AE33" s="234">
        <f>IF(AD$7=0,0,AD33/AD$7)</f>
        <v>0</v>
      </c>
      <c r="AF33" s="233"/>
      <c r="AG33" s="234">
        <f>IF(AF$7=0,0,AF33/AF$7)</f>
        <v>0</v>
      </c>
      <c r="AH33" s="265">
        <f t="shared" si="18"/>
        <v>0</v>
      </c>
    </row>
    <row r="34" spans="1:34" s="219" customFormat="1" ht="15" customHeight="1">
      <c r="A34" s="231">
        <v>8.3000000000000007</v>
      </c>
      <c r="B34" s="245" t="s">
        <v>522</v>
      </c>
      <c r="C34" s="233"/>
      <c r="D34" s="234">
        <f>IF(C$7=0,0,C34/C$7)</f>
        <v>0</v>
      </c>
      <c r="E34" s="235">
        <f t="shared" si="1"/>
        <v>0</v>
      </c>
      <c r="F34" s="234">
        <f t="shared" si="15"/>
        <v>0</v>
      </c>
      <c r="G34" s="234">
        <f t="shared" si="83"/>
        <v>0</v>
      </c>
      <c r="H34" s="234">
        <f t="shared" si="88"/>
        <v>0</v>
      </c>
      <c r="I34" s="234">
        <f>IF(H$7=0,0,H34/H$7)</f>
        <v>0</v>
      </c>
      <c r="J34" s="233"/>
      <c r="K34" s="234">
        <f>IF(J$7=0,0,J34/J$7)</f>
        <v>0</v>
      </c>
      <c r="L34" s="233"/>
      <c r="M34" s="234">
        <f>IF(L$7=0,0,L34/L$7)</f>
        <v>0</v>
      </c>
      <c r="N34" s="233"/>
      <c r="O34" s="234">
        <f>IF(N$7=0,0,N34/N$7)</f>
        <v>0</v>
      </c>
      <c r="P34" s="233"/>
      <c r="Q34" s="234">
        <f>IF(P$7=0,0,P34/P$7)</f>
        <v>0</v>
      </c>
      <c r="R34" s="233"/>
      <c r="S34" s="234">
        <f>IF(R$7=0,0,R34/R$7)</f>
        <v>0</v>
      </c>
      <c r="T34" s="233"/>
      <c r="U34" s="234">
        <f>IF(T$7=0,0,T34/T$7)</f>
        <v>0</v>
      </c>
      <c r="V34" s="233"/>
      <c r="W34" s="234">
        <f>IF(V$7=0,0,V34/V$7)</f>
        <v>0</v>
      </c>
      <c r="X34" s="233"/>
      <c r="Y34" s="234">
        <f>IF(X$7=0,0,X34/X$7)</f>
        <v>0</v>
      </c>
      <c r="Z34" s="233"/>
      <c r="AA34" s="234">
        <f>IF(Z$7=0,0,Z34/Z$7)</f>
        <v>0</v>
      </c>
      <c r="AB34" s="233"/>
      <c r="AC34" s="234">
        <f>IF(AB$7=0,0,AB34/AB$7)</f>
        <v>0</v>
      </c>
      <c r="AD34" s="233"/>
      <c r="AE34" s="234">
        <f>IF(AD$7=0,0,AD34/AD$7)</f>
        <v>0</v>
      </c>
      <c r="AF34" s="233"/>
      <c r="AG34" s="234">
        <f>IF(AF$7=0,0,AF34/AF$7)</f>
        <v>0</v>
      </c>
      <c r="AH34" s="265">
        <f t="shared" si="18"/>
        <v>0</v>
      </c>
    </row>
    <row r="35" spans="1:34" s="219" customFormat="1" ht="15" hidden="1" customHeight="1">
      <c r="A35" s="248"/>
      <c r="B35" s="249"/>
      <c r="C35" s="250"/>
      <c r="D35" s="251"/>
      <c r="E35" s="252"/>
      <c r="F35" s="251">
        <f t="shared" si="15"/>
        <v>0</v>
      </c>
      <c r="G35" s="251">
        <f t="shared" si="83"/>
        <v>0</v>
      </c>
      <c r="H35" s="251"/>
      <c r="I35" s="251"/>
      <c r="J35" s="250"/>
      <c r="K35" s="251"/>
      <c r="L35" s="250"/>
      <c r="M35" s="251"/>
      <c r="N35" s="250"/>
      <c r="O35" s="251"/>
      <c r="P35" s="250"/>
      <c r="Q35" s="251"/>
      <c r="R35" s="250"/>
      <c r="S35" s="251"/>
      <c r="T35" s="250"/>
      <c r="U35" s="251"/>
      <c r="V35" s="250"/>
      <c r="W35" s="251"/>
      <c r="X35" s="250"/>
      <c r="Y35" s="251"/>
      <c r="Z35" s="250"/>
      <c r="AA35" s="251"/>
      <c r="AB35" s="250"/>
      <c r="AC35" s="251"/>
      <c r="AD35" s="250"/>
      <c r="AE35" s="251"/>
      <c r="AF35" s="250"/>
      <c r="AG35" s="251"/>
      <c r="AH35" s="262"/>
    </row>
    <row r="36" spans="1:34" s="221" customFormat="1" ht="15" customHeight="1">
      <c r="A36" s="227"/>
      <c r="B36" s="228" t="s">
        <v>523</v>
      </c>
      <c r="C36" s="229">
        <f t="shared" ref="C36" si="89">C29+C31</f>
        <v>0</v>
      </c>
      <c r="D36" s="229">
        <f>IF(C$7=0,0,C36/C$7)</f>
        <v>0</v>
      </c>
      <c r="E36" s="230">
        <f t="shared" si="1"/>
        <v>0</v>
      </c>
      <c r="F36" s="229">
        <f t="shared" si="15"/>
        <v>-343467.04500000016</v>
      </c>
      <c r="G36" s="229">
        <f t="shared" si="83"/>
        <v>0</v>
      </c>
      <c r="H36" s="229">
        <f t="shared" ref="H36:J36" si="90">H29+H31</f>
        <v>-9196231.3349999972</v>
      </c>
      <c r="I36" s="229">
        <f>IF(H$7=0,0,H36/H$7)</f>
        <v>0</v>
      </c>
      <c r="J36" s="229">
        <f t="shared" si="90"/>
        <v>-1004039.4749999999</v>
      </c>
      <c r="K36" s="229">
        <f>IF(J$7=0,0,J36/J$7)</f>
        <v>0</v>
      </c>
      <c r="L36" s="229">
        <f t="shared" ref="L36:P36" si="91">L29+L31</f>
        <v>-319599.14250000002</v>
      </c>
      <c r="M36" s="229">
        <f>IF(L$7=0,0,L36/L$7)</f>
        <v>0</v>
      </c>
      <c r="N36" s="229">
        <f t="shared" si="91"/>
        <v>-963023.36999999988</v>
      </c>
      <c r="O36" s="229">
        <f>IF(N$7=0,0,N36/N$7)</f>
        <v>0</v>
      </c>
      <c r="P36" s="229">
        <f t="shared" si="91"/>
        <v>-428820.87</v>
      </c>
      <c r="Q36" s="229">
        <f>IF(P$7=0,0,P36/P$7)</f>
        <v>0</v>
      </c>
      <c r="R36" s="229">
        <f t="shared" ref="R36:V36" si="92">R29+R31</f>
        <v>-234056.6925</v>
      </c>
      <c r="S36" s="229">
        <f>IF(R$7=0,0,R36/R$7)</f>
        <v>0</v>
      </c>
      <c r="T36" s="229">
        <f t="shared" si="92"/>
        <v>-3450647.9925000002</v>
      </c>
      <c r="U36" s="229">
        <f>IF(T$7=0,0,T36/T$7)</f>
        <v>0</v>
      </c>
      <c r="V36" s="229">
        <f t="shared" si="92"/>
        <v>-372477.1875</v>
      </c>
      <c r="W36" s="229">
        <f>IF(V$7=0,0,V36/V$7)</f>
        <v>0</v>
      </c>
      <c r="X36" s="229">
        <f t="shared" ref="X36:AB36" si="93">X29+X31</f>
        <v>-435689.13749999984</v>
      </c>
      <c r="Y36" s="229">
        <f>IF(X$7=0,0,X36/X$7)</f>
        <v>0</v>
      </c>
      <c r="Z36" s="229">
        <f t="shared" si="93"/>
        <v>-1615462.4024999994</v>
      </c>
      <c r="AA36" s="229">
        <f>IF(Z$7=0,0,Z36/Z$7)</f>
        <v>0</v>
      </c>
      <c r="AB36" s="229">
        <f t="shared" si="93"/>
        <v>90422.752499999886</v>
      </c>
      <c r="AC36" s="229">
        <f>IF(AB$7=0,0,AB36/AB$7)</f>
        <v>0</v>
      </c>
      <c r="AD36" s="229">
        <f>AD29+AD31</f>
        <v>-119370.77249999999</v>
      </c>
      <c r="AE36" s="229">
        <f>IF(AD$7=0,0,AD36/AD$7)</f>
        <v>0</v>
      </c>
      <c r="AF36" s="229">
        <f>AF29+AF31</f>
        <v>-343467.04500000016</v>
      </c>
      <c r="AG36" s="229">
        <f>IF(AF$7=0,0,AF36/AF$7)</f>
        <v>0</v>
      </c>
      <c r="AH36" s="265">
        <f t="shared" si="18"/>
        <v>0</v>
      </c>
    </row>
    <row r="37" spans="1:34" s="222" customFormat="1" ht="12">
      <c r="A37" s="253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</row>
    <row r="38" spans="1:34" s="222" customFormat="1" ht="12">
      <c r="A38" s="254" t="s">
        <v>524</v>
      </c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</row>
    <row r="39" spans="1:34" s="222" customFormat="1" ht="12">
      <c r="A39" s="253" t="s">
        <v>525</v>
      </c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</row>
    <row r="40" spans="1:34" s="222" customFormat="1" ht="12">
      <c r="A40" s="253" t="s">
        <v>526</v>
      </c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</row>
    <row r="41" spans="1:34" s="222" customFormat="1" ht="12">
      <c r="A41" s="255" t="s">
        <v>527</v>
      </c>
      <c r="B41" s="256"/>
      <c r="C41" s="257"/>
      <c r="D41" s="219"/>
      <c r="E41" s="257"/>
      <c r="F41" s="257"/>
      <c r="G41" s="257"/>
      <c r="H41" s="257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</row>
    <row r="42" spans="1:34">
      <c r="B42" s="258" t="s">
        <v>528</v>
      </c>
    </row>
    <row r="43" spans="1:34">
      <c r="B43" s="259" t="s">
        <v>119</v>
      </c>
      <c r="C43" s="213">
        <f>ROUND(C8-C9-C10-C11,2)</f>
        <v>0</v>
      </c>
      <c r="D43" s="105"/>
      <c r="E43" s="105"/>
      <c r="F43" s="213">
        <f>ROUND(F8-F9-F10-F11,2)</f>
        <v>0</v>
      </c>
      <c r="G43" s="105"/>
      <c r="H43" s="213">
        <f>ROUND(H8-H9-H10-H11,2)</f>
        <v>0</v>
      </c>
      <c r="I43" s="105"/>
      <c r="J43" s="213">
        <f>ROUND(J8-J9-J10-J11,2)</f>
        <v>0</v>
      </c>
      <c r="K43" s="105"/>
      <c r="L43" s="213">
        <f>ROUND(L8-L9-L10-L11,2)</f>
        <v>0</v>
      </c>
      <c r="M43" s="105"/>
      <c r="N43" s="213">
        <f>ROUND(N8-N9-N10-N11,2)</f>
        <v>0</v>
      </c>
      <c r="O43" s="105"/>
      <c r="P43" s="213">
        <f>ROUND(P8-P9-P10-P11,2)</f>
        <v>0</v>
      </c>
      <c r="Q43" s="105"/>
      <c r="R43" s="213">
        <f>ROUND(R8-R9-R10-R11,2)</f>
        <v>0</v>
      </c>
      <c r="S43" s="105"/>
      <c r="T43" s="213">
        <f>ROUND(T8-T9-T10-T11,2)</f>
        <v>0</v>
      </c>
      <c r="U43" s="105"/>
      <c r="V43" s="213">
        <f>ROUND(V8-V9-V10-V11,2)</f>
        <v>0</v>
      </c>
      <c r="W43" s="105"/>
      <c r="X43" s="213">
        <f>ROUND(X8-X9-X10-X11,2)</f>
        <v>0</v>
      </c>
      <c r="Y43" s="105"/>
      <c r="Z43" s="213">
        <f>ROUND(Z8-Z9-Z10-Z11,2)</f>
        <v>0</v>
      </c>
      <c r="AA43" s="105"/>
      <c r="AB43" s="213">
        <f>ROUND(AB8-AB9-AB10-AB11,2)</f>
        <v>0</v>
      </c>
      <c r="AC43" s="105"/>
      <c r="AD43" s="213">
        <f>ROUND(AD8-AD9-AD10-AD11,2)</f>
        <v>0</v>
      </c>
      <c r="AE43" s="105"/>
      <c r="AF43" s="213">
        <f>ROUND(AF8-AF9-AF10-AF11,2)</f>
        <v>0</v>
      </c>
      <c r="AG43" s="105"/>
    </row>
    <row r="44" spans="1:34">
      <c r="B44" s="259" t="s">
        <v>120</v>
      </c>
      <c r="C44" s="213">
        <f>IF(C12&gt;=(C13+C14),0,1)</f>
        <v>0</v>
      </c>
      <c r="D44" s="105"/>
      <c r="E44" s="105"/>
      <c r="F44" s="213">
        <f>IF(F12&gt;=(F13+F14),0,1)</f>
        <v>0</v>
      </c>
      <c r="G44" s="105"/>
      <c r="H44" s="213">
        <f>IF(H12&gt;=(H13+H14),0,1)</f>
        <v>0</v>
      </c>
      <c r="I44" s="105"/>
      <c r="J44" s="213">
        <f>IF(J12&gt;=(J13+J14),0,1)</f>
        <v>0</v>
      </c>
      <c r="K44" s="105"/>
      <c r="L44" s="213">
        <f>IF(L12&gt;=(L13+L14),0,1)</f>
        <v>0</v>
      </c>
      <c r="M44" s="105"/>
      <c r="N44" s="213">
        <f>IF(N12&gt;=(N13+N14),0,1)</f>
        <v>0</v>
      </c>
      <c r="O44" s="105"/>
      <c r="P44" s="213">
        <f>IF(P12&gt;=(P13+P14),0,1)</f>
        <v>0</v>
      </c>
      <c r="Q44" s="105"/>
      <c r="R44" s="213">
        <f>IF(R12&gt;=(R13+R14),0,1)</f>
        <v>0</v>
      </c>
      <c r="S44" s="105"/>
      <c r="T44" s="213">
        <f>IF(T12&gt;=(T13+T14),0,1)</f>
        <v>0</v>
      </c>
      <c r="U44" s="105"/>
      <c r="V44" s="213">
        <f>IF(V12&gt;=(V13+V14),0,1)</f>
        <v>0</v>
      </c>
      <c r="W44" s="105"/>
      <c r="X44" s="213">
        <f>IF(X12&gt;=(X13+X14),0,1)</f>
        <v>0</v>
      </c>
      <c r="Y44" s="105"/>
      <c r="Z44" s="213">
        <f>IF(Z12&gt;=(Z13+Z14),0,1)</f>
        <v>0</v>
      </c>
      <c r="AA44" s="105"/>
      <c r="AB44" s="213">
        <f>IF(AB12&gt;=(AB13+AB14),0,1)</f>
        <v>0</v>
      </c>
      <c r="AC44" s="105"/>
      <c r="AD44" s="213">
        <f>IF(AD12&gt;=(AD13+AD14),0,1)</f>
        <v>0</v>
      </c>
      <c r="AE44" s="105"/>
      <c r="AF44" s="213">
        <f>IF(AF12&gt;=(AF13+AF14),0,1)</f>
        <v>0</v>
      </c>
      <c r="AG44" s="105"/>
    </row>
    <row r="45" spans="1:34" ht="24">
      <c r="B45" s="259" t="s">
        <v>121</v>
      </c>
      <c r="C45" s="213">
        <f>ROUND(C8-C12-C15-C16-C17,2)</f>
        <v>0</v>
      </c>
      <c r="D45" s="105"/>
      <c r="E45" s="105"/>
      <c r="F45" s="213">
        <f>ROUND(F8-F12-F15-F16-F17,2)</f>
        <v>0</v>
      </c>
      <c r="G45" s="105"/>
      <c r="H45" s="213">
        <f>ROUND(H8-H12-H15-H16-H17,2)</f>
        <v>0</v>
      </c>
      <c r="I45" s="105"/>
      <c r="J45" s="213">
        <f>ROUND(J8-J12-J15-J16-J17,2)</f>
        <v>0</v>
      </c>
      <c r="K45" s="105"/>
      <c r="L45" s="213">
        <f>ROUND(L8-L12-L15-L16-L17,2)</f>
        <v>0</v>
      </c>
      <c r="M45" s="105"/>
      <c r="N45" s="213">
        <f>ROUND(N8-N12-N15-N16-N17,2)</f>
        <v>0</v>
      </c>
      <c r="O45" s="105"/>
      <c r="P45" s="213">
        <f>ROUND(P8-P12-P15-P16-P17,2)</f>
        <v>0</v>
      </c>
      <c r="Q45" s="105"/>
      <c r="R45" s="213">
        <f>ROUND(R8-R12-R15-R16-R17,2)</f>
        <v>0</v>
      </c>
      <c r="S45" s="105"/>
      <c r="T45" s="213">
        <f>ROUND(T8-T12-T15-T16-T17,2)</f>
        <v>0</v>
      </c>
      <c r="U45" s="105"/>
      <c r="V45" s="213">
        <f>ROUND(V8-V12-V15-V16-V17,2)</f>
        <v>0</v>
      </c>
      <c r="W45" s="105"/>
      <c r="X45" s="213">
        <f>ROUND(X8-X12-X15-X16-X17,2)</f>
        <v>0</v>
      </c>
      <c r="Y45" s="105"/>
      <c r="Z45" s="213">
        <f>ROUND(Z8-Z12-Z15-Z16-Z17,2)</f>
        <v>0</v>
      </c>
      <c r="AA45" s="105"/>
      <c r="AB45" s="213">
        <f>ROUND(AB8-AB12-AB15-AB16-AB17,2)</f>
        <v>0</v>
      </c>
      <c r="AC45" s="105"/>
      <c r="AD45" s="213">
        <f>ROUND(AD8-AD12-AD15-AD16-AD17,2)</f>
        <v>0</v>
      </c>
      <c r="AE45" s="105"/>
      <c r="AF45" s="213">
        <f>ROUND(AF8-AF12-AF15-AF16-AF17,2)</f>
        <v>0</v>
      </c>
      <c r="AG45" s="105"/>
    </row>
    <row r="46" spans="1:34" ht="24">
      <c r="B46" s="259" t="s">
        <v>122</v>
      </c>
      <c r="C46" s="213">
        <f>ROUND(C19-C20-C22-C24,2)</f>
        <v>0</v>
      </c>
      <c r="D46" s="105"/>
      <c r="E46" s="105"/>
      <c r="F46" s="213">
        <f>ROUND(F19-F20-F22-F24,2)</f>
        <v>0</v>
      </c>
      <c r="G46" s="105"/>
      <c r="H46" s="213">
        <f>ROUND(H19-H20-H22-H24,2)</f>
        <v>0</v>
      </c>
      <c r="I46" s="105"/>
      <c r="J46" s="213">
        <f>ROUND(J19-J20-J22-J24,2)</f>
        <v>0</v>
      </c>
      <c r="K46" s="105"/>
      <c r="L46" s="213">
        <f>ROUND(L19-L20-L22-L24,2)</f>
        <v>0</v>
      </c>
      <c r="M46" s="105"/>
      <c r="N46" s="213">
        <f>ROUND(N19-N20-N22-N24,2)</f>
        <v>0</v>
      </c>
      <c r="O46" s="105"/>
      <c r="P46" s="213">
        <f>ROUND(P19-P20-P22-P24,2)</f>
        <v>0</v>
      </c>
      <c r="Q46" s="105"/>
      <c r="R46" s="213">
        <f>ROUND(R19-R20-R22-R24,2)</f>
        <v>0</v>
      </c>
      <c r="S46" s="105"/>
      <c r="T46" s="213">
        <f>ROUND(T19-T20-T22-T24,2)</f>
        <v>0</v>
      </c>
      <c r="U46" s="105"/>
      <c r="V46" s="213">
        <f>ROUND(V19-V20-V22-V24,2)</f>
        <v>0</v>
      </c>
      <c r="W46" s="105"/>
      <c r="X46" s="213">
        <f>ROUND(X19-X20-X22-X24,2)</f>
        <v>0</v>
      </c>
      <c r="Y46" s="105"/>
      <c r="Z46" s="213">
        <f>ROUND(Z19-Z20-Z22-Z24,2)</f>
        <v>0</v>
      </c>
      <c r="AA46" s="105"/>
      <c r="AB46" s="213">
        <f>ROUND(AB19-AB20-AB22-AB24,2)</f>
        <v>0</v>
      </c>
      <c r="AC46" s="105"/>
      <c r="AD46" s="213">
        <f>ROUND(AD19-AD20-AD22-AD24,2)</f>
        <v>0</v>
      </c>
      <c r="AE46" s="105"/>
      <c r="AF46" s="213">
        <f>ROUND(AF19-AF20-AF22-AF24,2)</f>
        <v>0</v>
      </c>
      <c r="AG46" s="105"/>
    </row>
    <row r="47" spans="1:34" ht="24">
      <c r="B47" s="259" t="s">
        <v>123</v>
      </c>
      <c r="C47" s="213">
        <f>ROUND(C17-C19+C26-C27,2)</f>
        <v>0</v>
      </c>
      <c r="D47" s="105"/>
      <c r="E47" s="105"/>
      <c r="F47" s="213">
        <f>ROUND(F17-F19+F26-F27,2)</f>
        <v>0</v>
      </c>
      <c r="G47" s="105"/>
      <c r="H47" s="213">
        <f>ROUND(H17-H19+H26-H27,2)</f>
        <v>0</v>
      </c>
      <c r="I47" s="105"/>
      <c r="J47" s="213">
        <f>ROUND(J17-J19+J26-J27,2)</f>
        <v>0</v>
      </c>
      <c r="K47" s="105"/>
      <c r="L47" s="213">
        <f>ROUND(L17-L19+L26-L27,2)</f>
        <v>0</v>
      </c>
      <c r="M47" s="105"/>
      <c r="N47" s="213">
        <f>ROUND(N17-N19+N26-N27,2)</f>
        <v>0</v>
      </c>
      <c r="O47" s="105"/>
      <c r="P47" s="213">
        <f>ROUND(P17-P19+P26-P27,2)</f>
        <v>0</v>
      </c>
      <c r="Q47" s="105"/>
      <c r="R47" s="213">
        <f>ROUND(R17-R19+R26-R27,2)</f>
        <v>0</v>
      </c>
      <c r="S47" s="105"/>
      <c r="T47" s="213">
        <f>ROUND(T17-T19+T26-T27,2)</f>
        <v>0</v>
      </c>
      <c r="U47" s="105"/>
      <c r="V47" s="213">
        <f>ROUND(V17-V19+V26-V27,2)</f>
        <v>0</v>
      </c>
      <c r="W47" s="105"/>
      <c r="X47" s="213">
        <f>ROUND(X17-X19+X26-X27,2)</f>
        <v>0</v>
      </c>
      <c r="Y47" s="105"/>
      <c r="Z47" s="213">
        <f>ROUND(Z17-Z19+Z26-Z27,2)</f>
        <v>0</v>
      </c>
      <c r="AA47" s="105"/>
      <c r="AB47" s="213">
        <f>ROUND(AB17-AB19+AB26-AB27,2)</f>
        <v>0</v>
      </c>
      <c r="AC47" s="105"/>
      <c r="AD47" s="213">
        <f>ROUND(AD17-AD19+AD26-AD27,2)</f>
        <v>0</v>
      </c>
      <c r="AE47" s="105"/>
      <c r="AF47" s="213">
        <f>ROUND(AF17-AF19+AF26-AF27,2)</f>
        <v>0</v>
      </c>
      <c r="AG47" s="105"/>
    </row>
    <row r="48" spans="1:34">
      <c r="B48" s="259" t="s">
        <v>124</v>
      </c>
      <c r="C48" s="213">
        <f>ROUND(C27*0.25-C28,2)</f>
        <v>0</v>
      </c>
      <c r="D48" s="105"/>
      <c r="E48" s="105"/>
      <c r="F48" s="213">
        <f>ROUND(F27*0.25-F28,2)</f>
        <v>0</v>
      </c>
      <c r="G48" s="105"/>
      <c r="H48" s="213">
        <f>ROUND(H27*0.25-H28,2)</f>
        <v>0</v>
      </c>
      <c r="I48" s="105"/>
      <c r="J48" s="213">
        <f>ROUND(J27*0.25-J28,2)</f>
        <v>0</v>
      </c>
      <c r="K48" s="105"/>
      <c r="L48" s="213">
        <f>ROUND(L27*0.25-L28,2)</f>
        <v>0</v>
      </c>
      <c r="M48" s="105"/>
      <c r="N48" s="213">
        <f>ROUND(N27*0.25-N28,2)</f>
        <v>0</v>
      </c>
      <c r="O48" s="105"/>
      <c r="P48" s="213">
        <f>ROUND(P27*0.25-P28,2)</f>
        <v>0</v>
      </c>
      <c r="Q48" s="105"/>
      <c r="R48" s="213">
        <f>ROUND(R27*0.25-R28,2)</f>
        <v>0</v>
      </c>
      <c r="S48" s="105"/>
      <c r="T48" s="213">
        <f>ROUND(T27*0.25-T28,2)</f>
        <v>0</v>
      </c>
      <c r="U48" s="105"/>
      <c r="V48" s="213">
        <f>ROUND(V27*0.25-V28,2)</f>
        <v>0</v>
      </c>
      <c r="W48" s="105"/>
      <c r="X48" s="213">
        <f>ROUND(X27*0.25-X28,2)</f>
        <v>0</v>
      </c>
      <c r="Y48" s="105"/>
      <c r="Z48" s="213">
        <f>ROUND(Z27*0.25-Z28,2)</f>
        <v>0</v>
      </c>
      <c r="AA48" s="105"/>
      <c r="AB48" s="213">
        <f>ROUND(AB27*0.25-AB28,2)</f>
        <v>0</v>
      </c>
      <c r="AC48" s="105"/>
      <c r="AD48" s="213">
        <f>ROUND(AD27*0.25-AD28,2)</f>
        <v>0</v>
      </c>
      <c r="AE48" s="105"/>
      <c r="AF48" s="213">
        <f>ROUND(AF27*0.25-AF28,2)</f>
        <v>0</v>
      </c>
      <c r="AG48" s="105"/>
    </row>
    <row r="49" spans="2:33">
      <c r="B49" s="259" t="s">
        <v>125</v>
      </c>
      <c r="C49" s="213">
        <f>ROUND(C27-C28-C29,2)</f>
        <v>0</v>
      </c>
      <c r="D49" s="105"/>
      <c r="E49" s="105"/>
      <c r="F49" s="213">
        <f>ROUND(F27-F28-F29,2)</f>
        <v>0</v>
      </c>
      <c r="G49" s="105"/>
      <c r="H49" s="213">
        <f>ROUND(H27-H28-H29,2)</f>
        <v>0</v>
      </c>
      <c r="I49" s="105"/>
      <c r="J49" s="213">
        <f>ROUND(J27-J28-J29,2)</f>
        <v>0</v>
      </c>
      <c r="K49" s="105"/>
      <c r="L49" s="213">
        <f>ROUND(L27-L28-L29,2)</f>
        <v>0</v>
      </c>
      <c r="M49" s="105"/>
      <c r="N49" s="213">
        <f>ROUND(N27-N28-N29,2)</f>
        <v>0</v>
      </c>
      <c r="O49" s="105"/>
      <c r="P49" s="213">
        <f>ROUND(P27-P28-P29,2)</f>
        <v>0</v>
      </c>
      <c r="Q49" s="105"/>
      <c r="R49" s="213">
        <f>ROUND(R27-R28-R29,2)</f>
        <v>0</v>
      </c>
      <c r="S49" s="105"/>
      <c r="T49" s="213">
        <f>ROUND(T27-T28-T29,2)</f>
        <v>0</v>
      </c>
      <c r="U49" s="105"/>
      <c r="V49" s="213">
        <f>ROUND(V27-V28-V29,2)</f>
        <v>0</v>
      </c>
      <c r="W49" s="105"/>
      <c r="X49" s="213">
        <f>ROUND(X27-X28-X29,2)</f>
        <v>0</v>
      </c>
      <c r="Y49" s="105"/>
      <c r="Z49" s="213">
        <f>ROUND(Z27-Z28-Z29,2)</f>
        <v>0</v>
      </c>
      <c r="AA49" s="105"/>
      <c r="AB49" s="213">
        <f>ROUND(AB27-AB28-AB29,2)</f>
        <v>0</v>
      </c>
      <c r="AC49" s="105"/>
      <c r="AD49" s="213">
        <f>ROUND(AD27-AD28-AD29,2)</f>
        <v>0</v>
      </c>
      <c r="AE49" s="105"/>
      <c r="AF49" s="213">
        <f>ROUND(AF27-AF28-AF29,2)</f>
        <v>0</v>
      </c>
      <c r="AG49" s="105"/>
    </row>
    <row r="50" spans="2:33">
      <c r="B50" s="259" t="s">
        <v>126</v>
      </c>
      <c r="C50" s="213">
        <f>ROUND(C31-C32-C33-C34,2)</f>
        <v>0</v>
      </c>
      <c r="D50" s="105"/>
      <c r="E50" s="105"/>
      <c r="F50" s="213">
        <f>ROUND(F31-F32-F33-F34,2)</f>
        <v>0</v>
      </c>
      <c r="G50" s="105"/>
      <c r="H50" s="213">
        <f>ROUND(H31-H32-H33-H34,2)</f>
        <v>0</v>
      </c>
      <c r="I50" s="105"/>
      <c r="J50" s="213">
        <f>ROUND(J31-J32-J33-J34,2)</f>
        <v>0</v>
      </c>
      <c r="K50" s="105"/>
      <c r="L50" s="213">
        <f>ROUND(L31-L32-L33-L34,2)</f>
        <v>0</v>
      </c>
      <c r="M50" s="105"/>
      <c r="N50" s="213">
        <f>ROUND(N31-N32-N33-N34,2)</f>
        <v>0</v>
      </c>
      <c r="O50" s="105"/>
      <c r="P50" s="213">
        <f>ROUND(P31-P32-P33-P34,2)</f>
        <v>0</v>
      </c>
      <c r="Q50" s="105"/>
      <c r="R50" s="213">
        <f>ROUND(R31-R32-R33-R34,2)</f>
        <v>0</v>
      </c>
      <c r="S50" s="105"/>
      <c r="T50" s="213">
        <f>ROUND(T31-T32-T33-T34,2)</f>
        <v>0</v>
      </c>
      <c r="U50" s="105"/>
      <c r="V50" s="213">
        <f>ROUND(V31-V32-V33-V34,2)</f>
        <v>0</v>
      </c>
      <c r="W50" s="105"/>
      <c r="X50" s="213">
        <f>ROUND(X31-X32-X33-X34,2)</f>
        <v>0</v>
      </c>
      <c r="Y50" s="105"/>
      <c r="Z50" s="213">
        <f>ROUND(Z31-Z32-Z33-Z34,2)</f>
        <v>0</v>
      </c>
      <c r="AA50" s="105"/>
      <c r="AB50" s="213">
        <f>ROUND(AB31-AB32-AB33-AB34,2)</f>
        <v>0</v>
      </c>
      <c r="AC50" s="105"/>
      <c r="AD50" s="213">
        <f>ROUND(AD31-AD32-AD33-AD34,2)</f>
        <v>0</v>
      </c>
      <c r="AE50" s="105"/>
      <c r="AF50" s="213">
        <f>ROUND(AF31-AF32-AF33-AF34,2)</f>
        <v>0</v>
      </c>
      <c r="AG50" s="105"/>
    </row>
    <row r="51" spans="2:33" ht="24">
      <c r="B51" s="259" t="s">
        <v>127</v>
      </c>
      <c r="C51" s="213">
        <f>ROUND(C36-C29-C31,2)</f>
        <v>0</v>
      </c>
      <c r="D51" s="105"/>
      <c r="E51" s="105"/>
      <c r="F51" s="213">
        <f>ROUND(F36-F29-F31,2)</f>
        <v>0</v>
      </c>
      <c r="G51" s="105"/>
      <c r="H51" s="213">
        <f>ROUND(H36-H29-H31,2)</f>
        <v>0</v>
      </c>
      <c r="I51" s="105"/>
      <c r="J51" s="213">
        <f>ROUND(J36-J29-J31,2)</f>
        <v>0</v>
      </c>
      <c r="K51" s="105"/>
      <c r="L51" s="213">
        <f>ROUND(L36-L29-L31,2)</f>
        <v>0</v>
      </c>
      <c r="M51" s="105"/>
      <c r="N51" s="213">
        <f>ROUND(N36-N29-N31,2)</f>
        <v>0</v>
      </c>
      <c r="O51" s="105"/>
      <c r="P51" s="213">
        <f>ROUND(P36-P29-P31,2)</f>
        <v>0</v>
      </c>
      <c r="Q51" s="105"/>
      <c r="R51" s="213">
        <f>ROUND(R36-R29-R31,2)</f>
        <v>0</v>
      </c>
      <c r="S51" s="105"/>
      <c r="T51" s="213">
        <f>ROUND(T36-T29-T31,2)</f>
        <v>0</v>
      </c>
      <c r="U51" s="105"/>
      <c r="V51" s="213">
        <f>ROUND(V36-V29-V31,2)</f>
        <v>0</v>
      </c>
      <c r="W51" s="105"/>
      <c r="X51" s="213">
        <f>ROUND(X36-X29-X31,2)</f>
        <v>0</v>
      </c>
      <c r="Y51" s="105"/>
      <c r="Z51" s="213">
        <f>ROUND(Z36-Z29-Z31,2)</f>
        <v>0</v>
      </c>
      <c r="AA51" s="105"/>
      <c r="AB51" s="213">
        <f>ROUND(AB36-AB29-AB31,2)</f>
        <v>0</v>
      </c>
      <c r="AC51" s="105"/>
      <c r="AD51" s="213">
        <f>ROUND(AD36-AD29-AD31,2)</f>
        <v>0</v>
      </c>
      <c r="AE51" s="105"/>
      <c r="AF51" s="213">
        <f>ROUND(AF36-AF29-AF31,2)</f>
        <v>0</v>
      </c>
      <c r="AG51" s="105"/>
    </row>
    <row r="52" spans="2:33">
      <c r="B52" s="259"/>
      <c r="C52" s="213"/>
      <c r="D52" s="105"/>
      <c r="E52" s="105"/>
      <c r="F52" s="213"/>
      <c r="G52" s="105"/>
      <c r="H52" s="213"/>
      <c r="I52" s="105"/>
      <c r="J52" s="213"/>
      <c r="K52" s="105"/>
      <c r="L52" s="213"/>
      <c r="M52" s="105"/>
      <c r="N52" s="213"/>
      <c r="O52" s="105"/>
      <c r="P52" s="213"/>
      <c r="Q52" s="105"/>
      <c r="R52" s="213"/>
      <c r="S52" s="105"/>
      <c r="T52" s="213"/>
      <c r="U52" s="105"/>
      <c r="V52" s="213"/>
      <c r="W52" s="105"/>
      <c r="X52" s="213"/>
      <c r="Y52" s="105"/>
      <c r="Z52" s="213"/>
      <c r="AA52" s="105"/>
      <c r="AB52" s="213"/>
      <c r="AC52" s="105"/>
      <c r="AD52" s="213"/>
      <c r="AE52" s="105"/>
      <c r="AF52" s="213"/>
      <c r="AG52" s="105"/>
    </row>
  </sheetData>
  <sheetProtection password="F79E" sheet="1" objects="1" scenarios="1"/>
  <mergeCells count="97">
    <mergeCell ref="A5:A6"/>
    <mergeCell ref="A20:A21"/>
    <mergeCell ref="A22:A23"/>
    <mergeCell ref="A24:A25"/>
    <mergeCell ref="B5:B6"/>
    <mergeCell ref="A7:B7"/>
    <mergeCell ref="X30:Y30"/>
    <mergeCell ref="Z30:AA30"/>
    <mergeCell ref="AB30:AC30"/>
    <mergeCell ref="AD30:AE30"/>
    <mergeCell ref="AF30:AG30"/>
    <mergeCell ref="N30:O30"/>
    <mergeCell ref="P30:Q30"/>
    <mergeCell ref="R30:S30"/>
    <mergeCell ref="T30:U30"/>
    <mergeCell ref="V30:W30"/>
    <mergeCell ref="C30:D30"/>
    <mergeCell ref="F30:G30"/>
    <mergeCell ref="H30:I30"/>
    <mergeCell ref="J30:K30"/>
    <mergeCell ref="L30:M30"/>
    <mergeCell ref="X23:Y23"/>
    <mergeCell ref="Z23:AA23"/>
    <mergeCell ref="AB23:AC23"/>
    <mergeCell ref="AD23:AE23"/>
    <mergeCell ref="AF23:AG23"/>
    <mergeCell ref="N23:O23"/>
    <mergeCell ref="P23:Q23"/>
    <mergeCell ref="R23:S23"/>
    <mergeCell ref="T23:U23"/>
    <mergeCell ref="V23:W23"/>
    <mergeCell ref="C23:D23"/>
    <mergeCell ref="F23:G23"/>
    <mergeCell ref="H23:I23"/>
    <mergeCell ref="J23:K23"/>
    <mergeCell ref="L23:M23"/>
    <mergeCell ref="X21:Y21"/>
    <mergeCell ref="Z21:AA21"/>
    <mergeCell ref="AB21:AC21"/>
    <mergeCell ref="AD21:AE21"/>
    <mergeCell ref="AF21:AG21"/>
    <mergeCell ref="N21:O21"/>
    <mergeCell ref="P21:Q21"/>
    <mergeCell ref="R21:S21"/>
    <mergeCell ref="T21:U21"/>
    <mergeCell ref="V21:W21"/>
    <mergeCell ref="C21:D21"/>
    <mergeCell ref="F21:G21"/>
    <mergeCell ref="H21:I21"/>
    <mergeCell ref="J21:K21"/>
    <mergeCell ref="L21:M21"/>
    <mergeCell ref="AF7:AG7"/>
    <mergeCell ref="C18:D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V7:W7"/>
    <mergeCell ref="X7:Y7"/>
    <mergeCell ref="Z7:AA7"/>
    <mergeCell ref="AB7:AC7"/>
    <mergeCell ref="AD7:AE7"/>
    <mergeCell ref="C7:D7"/>
    <mergeCell ref="F7:G7"/>
    <mergeCell ref="H7:I7"/>
    <mergeCell ref="J7:K7"/>
    <mergeCell ref="X5:Y5"/>
    <mergeCell ref="C5:D5"/>
    <mergeCell ref="F5:G5"/>
    <mergeCell ref="H5:I5"/>
    <mergeCell ref="J5:K5"/>
    <mergeCell ref="L5:M5"/>
    <mergeCell ref="E5:E6"/>
    <mergeCell ref="L7:M7"/>
    <mergeCell ref="N7:O7"/>
    <mergeCell ref="P7:Q7"/>
    <mergeCell ref="R7:S7"/>
    <mergeCell ref="T7:U7"/>
    <mergeCell ref="Z5:AA5"/>
    <mergeCell ref="AB5:AC5"/>
    <mergeCell ref="AD5:AE5"/>
    <mergeCell ref="AF5:AG5"/>
    <mergeCell ref="N5:O5"/>
    <mergeCell ref="P5:Q5"/>
    <mergeCell ref="R5:S5"/>
    <mergeCell ref="T5:U5"/>
    <mergeCell ref="V5:W5"/>
  </mergeCells>
  <phoneticPr fontId="83" type="noConversion"/>
  <hyperlinks>
    <hyperlink ref="A1" location="目录!A1" display=" 管理利润表（仅销售项目和以租代售项目填写）"/>
  </hyperlinks>
  <pageMargins left="0.15625" right="0.15625" top="0.74791666666666701" bottom="0.74791666666666701" header="0.31388888888888899" footer="0.31388888888888899"/>
  <pageSetup paperSize="9" scale="70" orientation="landscape"/>
  <colBreaks count="1" manualBreakCount="1">
    <brk id="21" max="37" man="1"/>
  </col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2"/>
  <sheetViews>
    <sheetView view="pageBreakPreview" zoomScaleNormal="100" zoomScaleSheetLayoutView="100" workbookViewId="0">
      <pane xSplit="7" ySplit="8" topLeftCell="Q9" activePane="bottomRight" state="frozen"/>
      <selection pane="topRight"/>
      <selection pane="bottomLeft"/>
      <selection pane="bottomRight" activeCell="K58" sqref="K58"/>
    </sheetView>
  </sheetViews>
  <sheetFormatPr defaultColWidth="8.625" defaultRowHeight="14.25" outlineLevelRow="1" outlineLevelCol="1"/>
  <cols>
    <col min="1" max="1" width="28.5" style="64" customWidth="1"/>
    <col min="2" max="7" width="8.625" style="64"/>
    <col min="8" max="10" width="8.375" style="64" customWidth="1"/>
    <col min="11" max="11" width="11.625" style="64" customWidth="1"/>
    <col min="12" max="19" width="8.625" style="64"/>
    <col min="20" max="49" width="8.625" style="64" hidden="1" customWidth="1" outlineLevel="1"/>
    <col min="50" max="50" width="8.625" style="64" collapsed="1"/>
    <col min="51" max="16384" width="8.625" style="64"/>
  </cols>
  <sheetData>
    <row r="1" spans="1:63" ht="18.75">
      <c r="A1" s="1" t="s">
        <v>529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66"/>
      <c r="AY1" s="66"/>
      <c r="AZ1" s="66"/>
      <c r="BA1" s="66"/>
      <c r="BB1" s="66"/>
      <c r="BC1" s="66"/>
      <c r="BD1" s="86"/>
      <c r="BE1" s="86"/>
      <c r="BF1" s="86"/>
      <c r="BG1" s="86"/>
      <c r="BH1" s="86"/>
      <c r="BI1" s="86"/>
    </row>
    <row r="2" spans="1:63" s="65" customFormat="1" ht="12.75">
      <c r="A2" s="65" t="str">
        <f>"编制单位："&amp;编制说明及审核公式!$C$2</f>
        <v>编制单位：上海丰泰置业有限公司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191"/>
      <c r="AY2" s="191"/>
      <c r="AZ2" s="191"/>
      <c r="BA2" s="191"/>
      <c r="BB2" s="191"/>
      <c r="BC2" s="191"/>
      <c r="BD2" s="214"/>
      <c r="BE2" s="214"/>
      <c r="BF2" s="214"/>
      <c r="BG2" s="214"/>
      <c r="BH2" s="214"/>
      <c r="BI2" s="214"/>
    </row>
    <row r="3" spans="1:63" s="65" customFormat="1" ht="12.75">
      <c r="A3" s="65" t="str">
        <f>"日期："&amp;编制说明及审核公式!$C$3</f>
        <v>日期：2020年12月</v>
      </c>
      <c r="B3" s="191"/>
      <c r="C3" s="192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  <c r="AU3" s="214"/>
      <c r="AV3" s="214"/>
      <c r="AW3" s="214"/>
      <c r="AX3" s="191"/>
      <c r="AY3" s="191"/>
      <c r="AZ3" s="191"/>
      <c r="BA3" s="191"/>
      <c r="BB3" s="191"/>
      <c r="BC3" s="191"/>
      <c r="BD3" s="214"/>
      <c r="BE3" s="214"/>
      <c r="BF3" s="214"/>
      <c r="BG3" s="214"/>
      <c r="BH3" s="214"/>
      <c r="BI3" s="214"/>
    </row>
    <row r="4" spans="1:63" s="65" customFormat="1" ht="12.75">
      <c r="A4" s="193" t="s">
        <v>175</v>
      </c>
      <c r="B4" s="194"/>
      <c r="C4" s="193"/>
      <c r="D4" s="194"/>
      <c r="E4" s="193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1"/>
      <c r="AY4" s="191"/>
      <c r="AZ4" s="191"/>
      <c r="BA4" s="191"/>
      <c r="BB4" s="191"/>
      <c r="BC4" s="191"/>
      <c r="BD4" s="194"/>
      <c r="BE4" s="194"/>
      <c r="BF4" s="194"/>
      <c r="BG4" s="194"/>
      <c r="BH4" s="194"/>
      <c r="BI4" s="194"/>
    </row>
    <row r="5" spans="1:63">
      <c r="A5" s="410" t="s">
        <v>472</v>
      </c>
      <c r="B5" s="404" t="s">
        <v>530</v>
      </c>
      <c r="C5" s="405"/>
      <c r="D5" s="405"/>
      <c r="E5" s="405"/>
      <c r="F5" s="405"/>
      <c r="G5" s="405"/>
      <c r="H5" s="406" t="s">
        <v>531</v>
      </c>
      <c r="I5" s="407"/>
      <c r="J5" s="407"/>
      <c r="K5" s="407"/>
      <c r="L5" s="407"/>
      <c r="M5" s="408"/>
      <c r="N5" s="406" t="s">
        <v>532</v>
      </c>
      <c r="O5" s="407"/>
      <c r="P5" s="407"/>
      <c r="Q5" s="407"/>
      <c r="R5" s="407"/>
      <c r="S5" s="408"/>
      <c r="T5" s="406" t="s">
        <v>533</v>
      </c>
      <c r="U5" s="407"/>
      <c r="V5" s="407"/>
      <c r="W5" s="407"/>
      <c r="X5" s="407"/>
      <c r="Y5" s="408"/>
      <c r="Z5" s="409"/>
      <c r="AA5" s="409"/>
      <c r="AB5" s="409"/>
      <c r="AC5" s="409"/>
      <c r="AD5" s="409"/>
      <c r="AE5" s="409"/>
      <c r="AF5" s="409"/>
      <c r="AG5" s="409"/>
      <c r="AH5" s="409"/>
      <c r="AI5" s="409"/>
      <c r="AJ5" s="409"/>
      <c r="AK5" s="409"/>
      <c r="AL5" s="409"/>
      <c r="AM5" s="409"/>
      <c r="AN5" s="409"/>
      <c r="AO5" s="409"/>
      <c r="AP5" s="409"/>
      <c r="AQ5" s="409"/>
      <c r="AR5" s="409"/>
      <c r="AS5" s="409"/>
      <c r="AT5" s="409"/>
      <c r="AU5" s="409"/>
      <c r="AV5" s="409"/>
      <c r="AW5" s="409"/>
      <c r="AX5" s="404" t="s">
        <v>534</v>
      </c>
      <c r="AY5" s="405"/>
      <c r="AZ5" s="405"/>
      <c r="BA5" s="405"/>
      <c r="BB5" s="405"/>
      <c r="BC5" s="405"/>
      <c r="BD5" s="404" t="s">
        <v>535</v>
      </c>
      <c r="BE5" s="405"/>
      <c r="BF5" s="405"/>
      <c r="BG5" s="405"/>
      <c r="BH5" s="405"/>
      <c r="BI5" s="405"/>
    </row>
    <row r="6" spans="1:63" ht="33.75">
      <c r="A6" s="411"/>
      <c r="B6" s="195" t="s">
        <v>536</v>
      </c>
      <c r="C6" s="195" t="s">
        <v>537</v>
      </c>
      <c r="D6" s="195" t="s">
        <v>538</v>
      </c>
      <c r="E6" s="195" t="s">
        <v>539</v>
      </c>
      <c r="F6" s="195" t="s">
        <v>540</v>
      </c>
      <c r="G6" s="195" t="s">
        <v>541</v>
      </c>
      <c r="H6" s="195" t="s">
        <v>536</v>
      </c>
      <c r="I6" s="195" t="s">
        <v>537</v>
      </c>
      <c r="J6" s="195" t="s">
        <v>538</v>
      </c>
      <c r="K6" s="195" t="s">
        <v>539</v>
      </c>
      <c r="L6" s="195" t="s">
        <v>540</v>
      </c>
      <c r="M6" s="195" t="s">
        <v>541</v>
      </c>
      <c r="N6" s="195" t="s">
        <v>536</v>
      </c>
      <c r="O6" s="195" t="s">
        <v>537</v>
      </c>
      <c r="P6" s="195" t="s">
        <v>538</v>
      </c>
      <c r="Q6" s="195" t="s">
        <v>539</v>
      </c>
      <c r="R6" s="195" t="s">
        <v>540</v>
      </c>
      <c r="S6" s="195" t="s">
        <v>541</v>
      </c>
      <c r="T6" s="195" t="s">
        <v>536</v>
      </c>
      <c r="U6" s="195" t="s">
        <v>537</v>
      </c>
      <c r="V6" s="195" t="s">
        <v>538</v>
      </c>
      <c r="W6" s="195" t="s">
        <v>539</v>
      </c>
      <c r="X6" s="195" t="s">
        <v>540</v>
      </c>
      <c r="Y6" s="195" t="s">
        <v>541</v>
      </c>
      <c r="Z6" s="195" t="s">
        <v>536</v>
      </c>
      <c r="AA6" s="195" t="s">
        <v>537</v>
      </c>
      <c r="AB6" s="195" t="s">
        <v>538</v>
      </c>
      <c r="AC6" s="195" t="s">
        <v>539</v>
      </c>
      <c r="AD6" s="195" t="s">
        <v>540</v>
      </c>
      <c r="AE6" s="195" t="s">
        <v>541</v>
      </c>
      <c r="AF6" s="195" t="s">
        <v>536</v>
      </c>
      <c r="AG6" s="195" t="s">
        <v>537</v>
      </c>
      <c r="AH6" s="195" t="s">
        <v>538</v>
      </c>
      <c r="AI6" s="195" t="s">
        <v>539</v>
      </c>
      <c r="AJ6" s="195" t="s">
        <v>540</v>
      </c>
      <c r="AK6" s="195" t="s">
        <v>541</v>
      </c>
      <c r="AL6" s="195" t="s">
        <v>536</v>
      </c>
      <c r="AM6" s="195" t="s">
        <v>537</v>
      </c>
      <c r="AN6" s="195" t="s">
        <v>538</v>
      </c>
      <c r="AO6" s="195" t="s">
        <v>539</v>
      </c>
      <c r="AP6" s="195" t="s">
        <v>540</v>
      </c>
      <c r="AQ6" s="195" t="s">
        <v>541</v>
      </c>
      <c r="AR6" s="195" t="s">
        <v>536</v>
      </c>
      <c r="AS6" s="195" t="s">
        <v>537</v>
      </c>
      <c r="AT6" s="195" t="s">
        <v>538</v>
      </c>
      <c r="AU6" s="195" t="s">
        <v>539</v>
      </c>
      <c r="AV6" s="195" t="s">
        <v>540</v>
      </c>
      <c r="AW6" s="195" t="s">
        <v>541</v>
      </c>
      <c r="AX6" s="195" t="s">
        <v>536</v>
      </c>
      <c r="AY6" s="195" t="s">
        <v>537</v>
      </c>
      <c r="AZ6" s="195" t="s">
        <v>538</v>
      </c>
      <c r="BA6" s="195" t="s">
        <v>539</v>
      </c>
      <c r="BB6" s="195" t="s">
        <v>540</v>
      </c>
      <c r="BC6" s="195" t="s">
        <v>541</v>
      </c>
      <c r="BD6" s="195" t="s">
        <v>536</v>
      </c>
      <c r="BE6" s="195" t="s">
        <v>537</v>
      </c>
      <c r="BF6" s="195" t="s">
        <v>538</v>
      </c>
      <c r="BG6" s="195" t="s">
        <v>539</v>
      </c>
      <c r="BH6" s="195" t="s">
        <v>540</v>
      </c>
      <c r="BI6" s="195" t="s">
        <v>541</v>
      </c>
      <c r="BJ6" s="216" t="s">
        <v>285</v>
      </c>
      <c r="BK6" s="89"/>
    </row>
    <row r="7" spans="1:63" ht="33.6" hidden="1" customHeight="1">
      <c r="A7" s="196" t="str">
        <f>A5</f>
        <v>项目</v>
      </c>
      <c r="B7" s="195" t="s">
        <v>536</v>
      </c>
      <c r="C7" s="195" t="s">
        <v>537</v>
      </c>
      <c r="D7" s="195" t="s">
        <v>538</v>
      </c>
      <c r="E7" s="195" t="s">
        <v>539</v>
      </c>
      <c r="F7" s="195" t="s">
        <v>540</v>
      </c>
      <c r="G7" s="195" t="s">
        <v>541</v>
      </c>
      <c r="H7" s="195" t="str">
        <f>H5</f>
        <v>君康金融广场项目---一期</v>
      </c>
      <c r="I7" s="195" t="str">
        <f>H5</f>
        <v>君康金融广场项目---一期</v>
      </c>
      <c r="J7" s="195" t="str">
        <f>H5</f>
        <v>君康金融广场项目---一期</v>
      </c>
      <c r="K7" s="195" t="str">
        <f>H5</f>
        <v>君康金融广场项目---一期</v>
      </c>
      <c r="L7" s="195" t="str">
        <f>H5</f>
        <v>君康金融广场项目---一期</v>
      </c>
      <c r="M7" s="195" t="str">
        <f>H5</f>
        <v>君康金融广场项目---一期</v>
      </c>
      <c r="N7" s="195" t="str">
        <f>N5</f>
        <v>XXX项目---二期</v>
      </c>
      <c r="O7" s="195" t="str">
        <f>N5</f>
        <v>XXX项目---二期</v>
      </c>
      <c r="P7" s="195" t="str">
        <f>N5</f>
        <v>XXX项目---二期</v>
      </c>
      <c r="Q7" s="195" t="str">
        <f>N5</f>
        <v>XXX项目---二期</v>
      </c>
      <c r="R7" s="195" t="str">
        <f>N5</f>
        <v>XXX项目---二期</v>
      </c>
      <c r="S7" s="195" t="str">
        <f>N5</f>
        <v>XXX项目---二期</v>
      </c>
      <c r="T7" s="195" t="str">
        <f>T5</f>
        <v>XXX项目---三期</v>
      </c>
      <c r="U7" s="195" t="str">
        <f>T5</f>
        <v>XXX项目---三期</v>
      </c>
      <c r="V7" s="195" t="str">
        <f>T5</f>
        <v>XXX项目---三期</v>
      </c>
      <c r="W7" s="195" t="str">
        <f>T5</f>
        <v>XXX项目---三期</v>
      </c>
      <c r="X7" s="195" t="str">
        <f>T5</f>
        <v>XXX项目---三期</v>
      </c>
      <c r="Y7" s="195" t="str">
        <f>T5</f>
        <v>XXX项目---三期</v>
      </c>
      <c r="Z7" s="195">
        <f>Z5</f>
        <v>0</v>
      </c>
      <c r="AA7" s="195">
        <f>Z5</f>
        <v>0</v>
      </c>
      <c r="AB7" s="195">
        <f>Z5</f>
        <v>0</v>
      </c>
      <c r="AC7" s="195">
        <f>Z5</f>
        <v>0</v>
      </c>
      <c r="AD7" s="195">
        <f>Z5</f>
        <v>0</v>
      </c>
      <c r="AE7" s="195">
        <f>Z5</f>
        <v>0</v>
      </c>
      <c r="AF7" s="195">
        <f>AF5</f>
        <v>0</v>
      </c>
      <c r="AG7" s="195">
        <f>AF5</f>
        <v>0</v>
      </c>
      <c r="AH7" s="195">
        <f>AF5</f>
        <v>0</v>
      </c>
      <c r="AI7" s="195">
        <f>AF5</f>
        <v>0</v>
      </c>
      <c r="AJ7" s="195">
        <f>AF5</f>
        <v>0</v>
      </c>
      <c r="AK7" s="195">
        <f>AF5</f>
        <v>0</v>
      </c>
      <c r="AL7" s="195">
        <f>AL5</f>
        <v>0</v>
      </c>
      <c r="AM7" s="195">
        <f>AL5</f>
        <v>0</v>
      </c>
      <c r="AN7" s="195">
        <f>AL5</f>
        <v>0</v>
      </c>
      <c r="AO7" s="195">
        <f>AL5</f>
        <v>0</v>
      </c>
      <c r="AP7" s="195">
        <f>AL5</f>
        <v>0</v>
      </c>
      <c r="AQ7" s="195">
        <f>AL5</f>
        <v>0</v>
      </c>
      <c r="AR7" s="195">
        <f>AR5</f>
        <v>0</v>
      </c>
      <c r="AS7" s="195">
        <f>AR5</f>
        <v>0</v>
      </c>
      <c r="AT7" s="195">
        <f>AR5</f>
        <v>0</v>
      </c>
      <c r="AU7" s="195">
        <f>AR5</f>
        <v>0</v>
      </c>
      <c r="AV7" s="195">
        <f>AR5</f>
        <v>0</v>
      </c>
      <c r="AW7" s="195">
        <f>AR5</f>
        <v>0</v>
      </c>
      <c r="AX7" s="195"/>
      <c r="AY7" s="195"/>
      <c r="AZ7" s="195"/>
      <c r="BA7" s="195"/>
      <c r="BB7" s="195"/>
      <c r="BC7" s="195"/>
      <c r="BD7" s="195" t="str">
        <f>BD5</f>
        <v>抵销</v>
      </c>
      <c r="BE7" s="195" t="str">
        <f>BD5</f>
        <v>抵销</v>
      </c>
      <c r="BF7" s="195" t="str">
        <f>BD5</f>
        <v>抵销</v>
      </c>
      <c r="BG7" s="195" t="str">
        <f>BD5</f>
        <v>抵销</v>
      </c>
      <c r="BH7" s="195" t="str">
        <f>BD5</f>
        <v>抵销</v>
      </c>
      <c r="BI7" s="195" t="str">
        <f>BD5</f>
        <v>抵销</v>
      </c>
    </row>
    <row r="8" spans="1:63">
      <c r="A8" s="370" t="s">
        <v>542</v>
      </c>
      <c r="B8" s="197">
        <f t="shared" ref="B8:G8" si="0">SUM(B9:B15)</f>
        <v>3630705371</v>
      </c>
      <c r="C8" s="197">
        <f t="shared" si="0"/>
        <v>0</v>
      </c>
      <c r="D8" s="197">
        <f t="shared" si="0"/>
        <v>0</v>
      </c>
      <c r="E8" s="197">
        <f t="shared" si="0"/>
        <v>3630705371</v>
      </c>
      <c r="F8" s="197">
        <f t="shared" si="0"/>
        <v>0</v>
      </c>
      <c r="G8" s="197">
        <f t="shared" si="0"/>
        <v>3630705371</v>
      </c>
      <c r="H8" s="197">
        <f t="shared" ref="H8:AW8" si="1">SUM(H9:H15)</f>
        <v>3630705371</v>
      </c>
      <c r="I8" s="197">
        <f t="shared" si="1"/>
        <v>0</v>
      </c>
      <c r="J8" s="197">
        <f t="shared" si="1"/>
        <v>0</v>
      </c>
      <c r="K8" s="197">
        <f t="shared" si="1"/>
        <v>3630705371</v>
      </c>
      <c r="L8" s="197">
        <f t="shared" si="1"/>
        <v>0</v>
      </c>
      <c r="M8" s="197">
        <f t="shared" si="1"/>
        <v>3630705371</v>
      </c>
      <c r="N8" s="197">
        <f t="shared" si="1"/>
        <v>0</v>
      </c>
      <c r="O8" s="197">
        <f t="shared" si="1"/>
        <v>0</v>
      </c>
      <c r="P8" s="197">
        <f t="shared" si="1"/>
        <v>0</v>
      </c>
      <c r="Q8" s="197">
        <f t="shared" si="1"/>
        <v>0</v>
      </c>
      <c r="R8" s="197">
        <f t="shared" si="1"/>
        <v>0</v>
      </c>
      <c r="S8" s="197">
        <f t="shared" si="1"/>
        <v>0</v>
      </c>
      <c r="T8" s="197">
        <f t="shared" si="1"/>
        <v>0</v>
      </c>
      <c r="U8" s="197">
        <f t="shared" si="1"/>
        <v>0</v>
      </c>
      <c r="V8" s="197">
        <f t="shared" si="1"/>
        <v>0</v>
      </c>
      <c r="W8" s="197">
        <f t="shared" si="1"/>
        <v>0</v>
      </c>
      <c r="X8" s="197">
        <f t="shared" si="1"/>
        <v>0</v>
      </c>
      <c r="Y8" s="197">
        <f t="shared" si="1"/>
        <v>0</v>
      </c>
      <c r="Z8" s="197">
        <f t="shared" si="1"/>
        <v>0</v>
      </c>
      <c r="AA8" s="197">
        <f t="shared" si="1"/>
        <v>0</v>
      </c>
      <c r="AB8" s="197">
        <f t="shared" si="1"/>
        <v>0</v>
      </c>
      <c r="AC8" s="197">
        <f t="shared" si="1"/>
        <v>0</v>
      </c>
      <c r="AD8" s="197">
        <f t="shared" si="1"/>
        <v>0</v>
      </c>
      <c r="AE8" s="197">
        <f t="shared" si="1"/>
        <v>0</v>
      </c>
      <c r="AF8" s="197">
        <f t="shared" si="1"/>
        <v>0</v>
      </c>
      <c r="AG8" s="197">
        <f t="shared" si="1"/>
        <v>0</v>
      </c>
      <c r="AH8" s="197">
        <f t="shared" si="1"/>
        <v>0</v>
      </c>
      <c r="AI8" s="197">
        <f t="shared" si="1"/>
        <v>0</v>
      </c>
      <c r="AJ8" s="197">
        <f t="shared" si="1"/>
        <v>0</v>
      </c>
      <c r="AK8" s="197">
        <f t="shared" si="1"/>
        <v>0</v>
      </c>
      <c r="AL8" s="197">
        <f t="shared" si="1"/>
        <v>0</v>
      </c>
      <c r="AM8" s="197">
        <f t="shared" si="1"/>
        <v>0</v>
      </c>
      <c r="AN8" s="197">
        <f t="shared" si="1"/>
        <v>0</v>
      </c>
      <c r="AO8" s="197">
        <f t="shared" si="1"/>
        <v>0</v>
      </c>
      <c r="AP8" s="197">
        <f t="shared" si="1"/>
        <v>0</v>
      </c>
      <c r="AQ8" s="197">
        <f t="shared" si="1"/>
        <v>0</v>
      </c>
      <c r="AR8" s="197">
        <f t="shared" si="1"/>
        <v>0</v>
      </c>
      <c r="AS8" s="197">
        <f t="shared" si="1"/>
        <v>0</v>
      </c>
      <c r="AT8" s="197">
        <f t="shared" si="1"/>
        <v>0</v>
      </c>
      <c r="AU8" s="197">
        <f t="shared" si="1"/>
        <v>0</v>
      </c>
      <c r="AV8" s="197">
        <f t="shared" si="1"/>
        <v>0</v>
      </c>
      <c r="AW8" s="197">
        <f t="shared" si="1"/>
        <v>0</v>
      </c>
      <c r="AX8" s="197">
        <f t="shared" ref="AX8:BI8" si="2">SUM(AX9:AX15)</f>
        <v>3630705371</v>
      </c>
      <c r="AY8" s="197">
        <f t="shared" si="2"/>
        <v>0</v>
      </c>
      <c r="AZ8" s="197">
        <f t="shared" si="2"/>
        <v>0</v>
      </c>
      <c r="BA8" s="197">
        <f t="shared" si="2"/>
        <v>3630705371</v>
      </c>
      <c r="BB8" s="197">
        <f t="shared" si="2"/>
        <v>0</v>
      </c>
      <c r="BC8" s="197">
        <f t="shared" si="2"/>
        <v>3630705371</v>
      </c>
      <c r="BD8" s="197">
        <f t="shared" si="2"/>
        <v>0</v>
      </c>
      <c r="BE8" s="197">
        <f t="shared" si="2"/>
        <v>0</v>
      </c>
      <c r="BF8" s="197">
        <f t="shared" si="2"/>
        <v>0</v>
      </c>
      <c r="BG8" s="197">
        <f t="shared" si="2"/>
        <v>0</v>
      </c>
      <c r="BH8" s="197">
        <f t="shared" si="2"/>
        <v>0</v>
      </c>
      <c r="BI8" s="197">
        <f t="shared" si="2"/>
        <v>0</v>
      </c>
      <c r="BJ8" s="90">
        <f>ROUND(B8+D8-E8,2)</f>
        <v>0</v>
      </c>
      <c r="BK8" s="90">
        <f>ROUND(E8-F8-G8,2)</f>
        <v>0</v>
      </c>
    </row>
    <row r="9" spans="1:63" outlineLevel="1">
      <c r="A9" s="371" t="s">
        <v>543</v>
      </c>
      <c r="B9" s="198">
        <f t="shared" ref="B9:D15" si="3">AX9+BD9</f>
        <v>3588705371</v>
      </c>
      <c r="C9" s="198">
        <f t="shared" si="3"/>
        <v>0</v>
      </c>
      <c r="D9" s="198">
        <f t="shared" si="3"/>
        <v>0</v>
      </c>
      <c r="E9" s="198">
        <f>B9+D9</f>
        <v>3588705371</v>
      </c>
      <c r="F9" s="198">
        <f>BB9+BH9</f>
        <v>0</v>
      </c>
      <c r="G9" s="198">
        <f>E9-F9</f>
        <v>3588705371</v>
      </c>
      <c r="H9" s="199">
        <v>3588705371</v>
      </c>
      <c r="I9" s="199"/>
      <c r="J9" s="199"/>
      <c r="K9" s="198">
        <f>H9+J9</f>
        <v>3588705371</v>
      </c>
      <c r="L9" s="199"/>
      <c r="M9" s="198">
        <f>K9-L9</f>
        <v>3588705371</v>
      </c>
      <c r="N9" s="199"/>
      <c r="O9" s="199"/>
      <c r="P9" s="199"/>
      <c r="Q9" s="198">
        <f>N9+P9</f>
        <v>0</v>
      </c>
      <c r="R9" s="199"/>
      <c r="S9" s="198">
        <f>Q9-R9</f>
        <v>0</v>
      </c>
      <c r="T9" s="199"/>
      <c r="U9" s="199"/>
      <c r="V9" s="199"/>
      <c r="W9" s="198">
        <f>T9+V9</f>
        <v>0</v>
      </c>
      <c r="X9" s="199"/>
      <c r="Y9" s="198">
        <f>W9-X9</f>
        <v>0</v>
      </c>
      <c r="Z9" s="199"/>
      <c r="AA9" s="199"/>
      <c r="AB9" s="199"/>
      <c r="AC9" s="198">
        <f>Z9+AB9</f>
        <v>0</v>
      </c>
      <c r="AD9" s="199"/>
      <c r="AE9" s="198">
        <f>AC9-AD9</f>
        <v>0</v>
      </c>
      <c r="AF9" s="199"/>
      <c r="AG9" s="199"/>
      <c r="AH9" s="199"/>
      <c r="AI9" s="198">
        <f>AF9+AH9</f>
        <v>0</v>
      </c>
      <c r="AJ9" s="199"/>
      <c r="AK9" s="198">
        <f>AI9-AJ9</f>
        <v>0</v>
      </c>
      <c r="AL9" s="199"/>
      <c r="AM9" s="199"/>
      <c r="AN9" s="199"/>
      <c r="AO9" s="198">
        <f>AL9+AN9</f>
        <v>0</v>
      </c>
      <c r="AP9" s="199"/>
      <c r="AQ9" s="198">
        <f>AO9-AP9</f>
        <v>0</v>
      </c>
      <c r="AR9" s="199"/>
      <c r="AS9" s="199"/>
      <c r="AT9" s="199"/>
      <c r="AU9" s="198">
        <f>AR9+AT9</f>
        <v>0</v>
      </c>
      <c r="AV9" s="199"/>
      <c r="AW9" s="198">
        <f>AU9-AV9</f>
        <v>0</v>
      </c>
      <c r="AX9" s="198">
        <f>SUMIF($H$6:$AW$6,"年初累计发生额",H9:AW9)</f>
        <v>3588705371</v>
      </c>
      <c r="AY9" s="198">
        <f>SUMIF($H$6:$AW$6,"本月发生额",H9:AW9)</f>
        <v>0</v>
      </c>
      <c r="AZ9" s="198">
        <f>SUMIF($H$6:$AW$6,"本年发生额",H9:AW9)</f>
        <v>0</v>
      </c>
      <c r="BA9" s="198">
        <f>SUMIF($H$6:$AW$6,"自开工累计发生额",H9:AW9)</f>
        <v>3588705371</v>
      </c>
      <c r="BB9" s="198">
        <f>SUMIF($H$6:$AW$6,"结转开发成本累计金额",H9:AW9)</f>
        <v>0</v>
      </c>
      <c r="BC9" s="198">
        <f>SUMIF($H$6:$AW$6,"开发成本期末余额",H9:AW9)</f>
        <v>3588705371</v>
      </c>
      <c r="BD9" s="199"/>
      <c r="BE9" s="199"/>
      <c r="BF9" s="199"/>
      <c r="BG9" s="198">
        <f>BD9+BF9</f>
        <v>0</v>
      </c>
      <c r="BH9" s="199"/>
      <c r="BI9" s="198">
        <f>BG9-BH9</f>
        <v>0</v>
      </c>
      <c r="BJ9" s="90">
        <f t="shared" ref="BJ9:BJ53" si="4">ROUND(B9+D9-E9,2)</f>
        <v>0</v>
      </c>
      <c r="BK9" s="90">
        <f t="shared" ref="BK9:BK53" si="5">ROUND(E9-F9-G9,2)</f>
        <v>0</v>
      </c>
    </row>
    <row r="10" spans="1:63" outlineLevel="1">
      <c r="A10" s="371" t="s">
        <v>544</v>
      </c>
      <c r="B10" s="198">
        <f t="shared" si="3"/>
        <v>0</v>
      </c>
      <c r="C10" s="198">
        <f t="shared" si="3"/>
        <v>0</v>
      </c>
      <c r="D10" s="198">
        <f t="shared" si="3"/>
        <v>0</v>
      </c>
      <c r="E10" s="198">
        <f>B10+D10</f>
        <v>0</v>
      </c>
      <c r="F10" s="198">
        <f>BB10+BH10</f>
        <v>0</v>
      </c>
      <c r="G10" s="198">
        <f>E10-F10</f>
        <v>0</v>
      </c>
      <c r="H10" s="199">
        <v>0</v>
      </c>
      <c r="I10" s="199"/>
      <c r="J10" s="199"/>
      <c r="K10" s="198">
        <f t="shared" ref="K10:K52" si="6">H10+J10</f>
        <v>0</v>
      </c>
      <c r="L10" s="199"/>
      <c r="M10" s="198">
        <f>K10-L10</f>
        <v>0</v>
      </c>
      <c r="N10" s="199"/>
      <c r="O10" s="199"/>
      <c r="P10" s="199"/>
      <c r="Q10" s="198">
        <f>N10+P10</f>
        <v>0</v>
      </c>
      <c r="R10" s="199"/>
      <c r="S10" s="198">
        <f>Q10-R10</f>
        <v>0</v>
      </c>
      <c r="T10" s="199"/>
      <c r="U10" s="199"/>
      <c r="V10" s="199"/>
      <c r="W10" s="198">
        <f>T10+V10</f>
        <v>0</v>
      </c>
      <c r="X10" s="199"/>
      <c r="Y10" s="198">
        <f>W10-X10</f>
        <v>0</v>
      </c>
      <c r="Z10" s="199"/>
      <c r="AA10" s="199"/>
      <c r="AB10" s="199"/>
      <c r="AC10" s="198">
        <f>Z10+AB10</f>
        <v>0</v>
      </c>
      <c r="AD10" s="199"/>
      <c r="AE10" s="198">
        <f>AC10-AD10</f>
        <v>0</v>
      </c>
      <c r="AF10" s="199"/>
      <c r="AG10" s="199"/>
      <c r="AH10" s="199"/>
      <c r="AI10" s="198">
        <f>AF10+AH10</f>
        <v>0</v>
      </c>
      <c r="AJ10" s="199"/>
      <c r="AK10" s="198">
        <f>AI10-AJ10</f>
        <v>0</v>
      </c>
      <c r="AL10" s="199"/>
      <c r="AM10" s="199"/>
      <c r="AN10" s="199"/>
      <c r="AO10" s="198">
        <f>AL10+AN10</f>
        <v>0</v>
      </c>
      <c r="AP10" s="199"/>
      <c r="AQ10" s="198">
        <f>AO10-AP10</f>
        <v>0</v>
      </c>
      <c r="AR10" s="199"/>
      <c r="AS10" s="199"/>
      <c r="AT10" s="199"/>
      <c r="AU10" s="198">
        <f>AR10+AT10</f>
        <v>0</v>
      </c>
      <c r="AV10" s="199"/>
      <c r="AW10" s="198">
        <f>AU10-AV10</f>
        <v>0</v>
      </c>
      <c r="AX10" s="198">
        <f>SUMIF($H$6:$AW$6,"年初累计发生额",H10:AW10)</f>
        <v>0</v>
      </c>
      <c r="AY10" s="198">
        <f>SUMIF($H$6:$AW$6,"本月发生额",H10:AW10)</f>
        <v>0</v>
      </c>
      <c r="AZ10" s="198">
        <f>SUMIF($H$6:$AW$6,"本年发生额",H10:AW10)</f>
        <v>0</v>
      </c>
      <c r="BA10" s="198">
        <f>SUMIF($H$6:$AW$6,"自开工累计发生额",H10:AW10)</f>
        <v>0</v>
      </c>
      <c r="BB10" s="198">
        <f>SUMIF($H$6:$AW$6,"结转开发成本累计金额",H10:AW10)</f>
        <v>0</v>
      </c>
      <c r="BC10" s="198">
        <f>SUMIF($H$6:$AW$6,"开发成本期末余额",H10:AW10)</f>
        <v>0</v>
      </c>
      <c r="BD10" s="199"/>
      <c r="BE10" s="199"/>
      <c r="BF10" s="199"/>
      <c r="BG10" s="198">
        <f>BD10+BF10</f>
        <v>0</v>
      </c>
      <c r="BH10" s="199"/>
      <c r="BI10" s="198">
        <f>BG10-BH10</f>
        <v>0</v>
      </c>
      <c r="BJ10" s="90">
        <f t="shared" si="4"/>
        <v>0</v>
      </c>
      <c r="BK10" s="90">
        <f t="shared" si="5"/>
        <v>0</v>
      </c>
    </row>
    <row r="11" spans="1:63" outlineLevel="1">
      <c r="A11" s="371" t="s">
        <v>545</v>
      </c>
      <c r="B11" s="198">
        <f t="shared" si="3"/>
        <v>0</v>
      </c>
      <c r="C11" s="198">
        <f t="shared" si="3"/>
        <v>0</v>
      </c>
      <c r="D11" s="198">
        <f t="shared" si="3"/>
        <v>0</v>
      </c>
      <c r="E11" s="198">
        <f>B11+D11</f>
        <v>0</v>
      </c>
      <c r="F11" s="198">
        <f>BB11+BH11</f>
        <v>0</v>
      </c>
      <c r="G11" s="198">
        <f>E11-F11</f>
        <v>0</v>
      </c>
      <c r="H11" s="199">
        <v>0</v>
      </c>
      <c r="I11" s="199"/>
      <c r="J11" s="199"/>
      <c r="K11" s="198">
        <f t="shared" si="6"/>
        <v>0</v>
      </c>
      <c r="L11" s="199"/>
      <c r="M11" s="198">
        <f>K11-L11</f>
        <v>0</v>
      </c>
      <c r="N11" s="199"/>
      <c r="O11" s="199"/>
      <c r="P11" s="199"/>
      <c r="Q11" s="198">
        <f>N11+P11</f>
        <v>0</v>
      </c>
      <c r="R11" s="199"/>
      <c r="S11" s="198">
        <f>Q11-R11</f>
        <v>0</v>
      </c>
      <c r="T11" s="199"/>
      <c r="U11" s="199"/>
      <c r="V11" s="199"/>
      <c r="W11" s="198">
        <f>T11+V11</f>
        <v>0</v>
      </c>
      <c r="X11" s="199"/>
      <c r="Y11" s="198">
        <f>W11-X11</f>
        <v>0</v>
      </c>
      <c r="Z11" s="199"/>
      <c r="AA11" s="199"/>
      <c r="AB11" s="199"/>
      <c r="AC11" s="198">
        <f>Z11+AB11</f>
        <v>0</v>
      </c>
      <c r="AD11" s="199"/>
      <c r="AE11" s="198">
        <f>AC11-AD11</f>
        <v>0</v>
      </c>
      <c r="AF11" s="199"/>
      <c r="AG11" s="199"/>
      <c r="AH11" s="199"/>
      <c r="AI11" s="198">
        <f>AF11+AH11</f>
        <v>0</v>
      </c>
      <c r="AJ11" s="199"/>
      <c r="AK11" s="198">
        <f>AI11-AJ11</f>
        <v>0</v>
      </c>
      <c r="AL11" s="199"/>
      <c r="AM11" s="199"/>
      <c r="AN11" s="199"/>
      <c r="AO11" s="198">
        <f>AL11+AN11</f>
        <v>0</v>
      </c>
      <c r="AP11" s="199"/>
      <c r="AQ11" s="198">
        <f>AO11-AP11</f>
        <v>0</v>
      </c>
      <c r="AR11" s="199"/>
      <c r="AS11" s="199"/>
      <c r="AT11" s="199"/>
      <c r="AU11" s="198">
        <f>AR11+AT11</f>
        <v>0</v>
      </c>
      <c r="AV11" s="199"/>
      <c r="AW11" s="198">
        <f>AU11-AV11</f>
        <v>0</v>
      </c>
      <c r="AX11" s="198">
        <f>SUMIF($H$6:$AW$6,"年初累计发生额",H11:AW11)</f>
        <v>0</v>
      </c>
      <c r="AY11" s="198">
        <f>SUMIF($H$6:$AW$6,"本月发生额",H11:AW11)</f>
        <v>0</v>
      </c>
      <c r="AZ11" s="198">
        <f>SUMIF($H$6:$AW$6,"本年发生额",H11:AW11)</f>
        <v>0</v>
      </c>
      <c r="BA11" s="198">
        <f>SUMIF($H$6:$AW$6,"自开工累计发生额",H11:AW11)</f>
        <v>0</v>
      </c>
      <c r="BB11" s="198">
        <f>SUMIF($H$6:$AW$6,"结转开发成本累计金额",H11:AW11)</f>
        <v>0</v>
      </c>
      <c r="BC11" s="198">
        <f>SUMIF($H$6:$AW$6,"开发成本期末余额",H11:AW11)</f>
        <v>0</v>
      </c>
      <c r="BD11" s="199"/>
      <c r="BE11" s="199"/>
      <c r="BF11" s="199"/>
      <c r="BG11" s="198">
        <f>BD11+BF11</f>
        <v>0</v>
      </c>
      <c r="BH11" s="199"/>
      <c r="BI11" s="198">
        <f>BG11-BH11</f>
        <v>0</v>
      </c>
      <c r="BJ11" s="90">
        <f t="shared" si="4"/>
        <v>0</v>
      </c>
      <c r="BK11" s="90">
        <f t="shared" si="5"/>
        <v>0</v>
      </c>
    </row>
    <row r="12" spans="1:63" outlineLevel="1">
      <c r="A12" s="371" t="s">
        <v>546</v>
      </c>
      <c r="B12" s="198">
        <f t="shared" si="3"/>
        <v>0</v>
      </c>
      <c r="C12" s="198">
        <f t="shared" si="3"/>
        <v>0</v>
      </c>
      <c r="D12" s="198">
        <f t="shared" si="3"/>
        <v>0</v>
      </c>
      <c r="E12" s="198">
        <f>B12+D12</f>
        <v>0</v>
      </c>
      <c r="F12" s="198">
        <f>BB12+BH12</f>
        <v>0</v>
      </c>
      <c r="G12" s="198">
        <f>E12-F12</f>
        <v>0</v>
      </c>
      <c r="H12" s="199">
        <v>0</v>
      </c>
      <c r="I12" s="199"/>
      <c r="J12" s="199"/>
      <c r="K12" s="198">
        <f t="shared" si="6"/>
        <v>0</v>
      </c>
      <c r="L12" s="199"/>
      <c r="M12" s="198">
        <f>K12-L12</f>
        <v>0</v>
      </c>
      <c r="N12" s="199"/>
      <c r="O12" s="199"/>
      <c r="P12" s="199"/>
      <c r="Q12" s="198">
        <f>N12+P12</f>
        <v>0</v>
      </c>
      <c r="R12" s="199"/>
      <c r="S12" s="198">
        <f>Q12-R12</f>
        <v>0</v>
      </c>
      <c r="T12" s="199"/>
      <c r="U12" s="199"/>
      <c r="V12" s="199"/>
      <c r="W12" s="198">
        <f>T12+V12</f>
        <v>0</v>
      </c>
      <c r="X12" s="199"/>
      <c r="Y12" s="198">
        <f>W12-X12</f>
        <v>0</v>
      </c>
      <c r="Z12" s="199"/>
      <c r="AA12" s="199"/>
      <c r="AB12" s="199"/>
      <c r="AC12" s="198">
        <f>Z12+AB12</f>
        <v>0</v>
      </c>
      <c r="AD12" s="199"/>
      <c r="AE12" s="198">
        <f>AC12-AD12</f>
        <v>0</v>
      </c>
      <c r="AF12" s="199"/>
      <c r="AG12" s="199"/>
      <c r="AH12" s="199"/>
      <c r="AI12" s="198">
        <f>AF12+AH12</f>
        <v>0</v>
      </c>
      <c r="AJ12" s="199"/>
      <c r="AK12" s="198">
        <f>AI12-AJ12</f>
        <v>0</v>
      </c>
      <c r="AL12" s="199"/>
      <c r="AM12" s="199"/>
      <c r="AN12" s="199"/>
      <c r="AO12" s="198">
        <f>AL12+AN12</f>
        <v>0</v>
      </c>
      <c r="AP12" s="199"/>
      <c r="AQ12" s="198">
        <f>AO12-AP12</f>
        <v>0</v>
      </c>
      <c r="AR12" s="199"/>
      <c r="AS12" s="199"/>
      <c r="AT12" s="199"/>
      <c r="AU12" s="198">
        <f>AR12+AT12</f>
        <v>0</v>
      </c>
      <c r="AV12" s="199"/>
      <c r="AW12" s="198">
        <f>AU12-AV12</f>
        <v>0</v>
      </c>
      <c r="AX12" s="198">
        <f>SUMIF($H$6:$AW$6,"年初累计发生额",H12:AW12)</f>
        <v>0</v>
      </c>
      <c r="AY12" s="198">
        <f>SUMIF($H$6:$AW$6,"本月发生额",H12:AW12)</f>
        <v>0</v>
      </c>
      <c r="AZ12" s="198">
        <f>SUMIF($H$6:$AW$6,"本年发生额",H12:AW12)</f>
        <v>0</v>
      </c>
      <c r="BA12" s="198">
        <f>SUMIF($H$6:$AW$6,"自开工累计发生额",H12:AW12)</f>
        <v>0</v>
      </c>
      <c r="BB12" s="198">
        <f>SUMIF($H$6:$AW$6,"结转开发成本累计金额",H12:AW12)</f>
        <v>0</v>
      </c>
      <c r="BC12" s="198">
        <f>SUMIF($H$6:$AW$6,"开发成本期末余额",H12:AW12)</f>
        <v>0</v>
      </c>
      <c r="BD12" s="199"/>
      <c r="BE12" s="199"/>
      <c r="BF12" s="199"/>
      <c r="BG12" s="198">
        <f>BD12+BF12</f>
        <v>0</v>
      </c>
      <c r="BH12" s="199"/>
      <c r="BI12" s="198">
        <f>BG12-BH12</f>
        <v>0</v>
      </c>
      <c r="BJ12" s="90">
        <f t="shared" si="4"/>
        <v>0</v>
      </c>
      <c r="BK12" s="90">
        <f t="shared" si="5"/>
        <v>0</v>
      </c>
    </row>
    <row r="13" spans="1:63" outlineLevel="1">
      <c r="A13" s="371" t="s">
        <v>547</v>
      </c>
      <c r="B13" s="198">
        <f t="shared" ref="B13:B14" si="7">AX13+BD13</f>
        <v>42000000</v>
      </c>
      <c r="C13" s="198">
        <f t="shared" ref="C13:C14" si="8">AY13+BE13</f>
        <v>0</v>
      </c>
      <c r="D13" s="198">
        <f t="shared" ref="D13:D14" si="9">AZ13+BF13</f>
        <v>0</v>
      </c>
      <c r="E13" s="198">
        <f t="shared" ref="E13:E15" si="10">B13+D13</f>
        <v>42000000</v>
      </c>
      <c r="F13" s="198">
        <f t="shared" ref="F13:F15" si="11">BB13+BH13</f>
        <v>0</v>
      </c>
      <c r="G13" s="198">
        <f t="shared" ref="G13:G15" si="12">E13-F13</f>
        <v>42000000</v>
      </c>
      <c r="H13" s="199">
        <v>42000000</v>
      </c>
      <c r="I13" s="199"/>
      <c r="J13" s="199"/>
      <c r="K13" s="198">
        <f t="shared" ref="K13:K14" si="13">H13+J13</f>
        <v>42000000</v>
      </c>
      <c r="L13" s="199"/>
      <c r="M13" s="198">
        <f t="shared" ref="M13:M15" si="14">K13-L13</f>
        <v>42000000</v>
      </c>
      <c r="N13" s="199"/>
      <c r="O13" s="199"/>
      <c r="P13" s="199"/>
      <c r="Q13" s="198">
        <f t="shared" ref="Q13:Q15" si="15">N13+P13</f>
        <v>0</v>
      </c>
      <c r="R13" s="199"/>
      <c r="S13" s="198">
        <f t="shared" ref="S13:S15" si="16">Q13-R13</f>
        <v>0</v>
      </c>
      <c r="T13" s="199"/>
      <c r="U13" s="199"/>
      <c r="V13" s="199"/>
      <c r="W13" s="198">
        <f t="shared" ref="W13:W15" si="17">T13+V13</f>
        <v>0</v>
      </c>
      <c r="X13" s="199"/>
      <c r="Y13" s="198">
        <f t="shared" ref="Y13:Y15" si="18">W13-X13</f>
        <v>0</v>
      </c>
      <c r="Z13" s="199"/>
      <c r="AA13" s="199"/>
      <c r="AB13" s="199"/>
      <c r="AC13" s="198">
        <f t="shared" ref="AC13:AC15" si="19">Z13+AB13</f>
        <v>0</v>
      </c>
      <c r="AD13" s="199"/>
      <c r="AE13" s="198">
        <f t="shared" ref="AE13:AE15" si="20">AC13-AD13</f>
        <v>0</v>
      </c>
      <c r="AF13" s="199"/>
      <c r="AG13" s="199"/>
      <c r="AH13" s="199"/>
      <c r="AI13" s="198">
        <f t="shared" ref="AI13:AI15" si="21">AF13+AH13</f>
        <v>0</v>
      </c>
      <c r="AJ13" s="199"/>
      <c r="AK13" s="198">
        <f t="shared" ref="AK13:AK15" si="22">AI13-AJ13</f>
        <v>0</v>
      </c>
      <c r="AL13" s="199"/>
      <c r="AM13" s="199"/>
      <c r="AN13" s="199"/>
      <c r="AO13" s="198">
        <f t="shared" ref="AO13:AO15" si="23">AL13+AN13</f>
        <v>0</v>
      </c>
      <c r="AP13" s="199"/>
      <c r="AQ13" s="198">
        <f t="shared" ref="AQ13:AQ15" si="24">AO13-AP13</f>
        <v>0</v>
      </c>
      <c r="AR13" s="199"/>
      <c r="AS13" s="199"/>
      <c r="AT13" s="199"/>
      <c r="AU13" s="198">
        <f t="shared" ref="AU13:AU15" si="25">AR13+AT13</f>
        <v>0</v>
      </c>
      <c r="AV13" s="199"/>
      <c r="AW13" s="198">
        <f t="shared" ref="AW13:AW15" si="26">AU13-AV13</f>
        <v>0</v>
      </c>
      <c r="AX13" s="198">
        <f t="shared" ref="AX13:AX15" si="27">SUMIF($H$6:$AW$6,"年初累计发生额",H13:AW13)</f>
        <v>42000000</v>
      </c>
      <c r="AY13" s="198">
        <f t="shared" ref="AY13:AY15" si="28">SUMIF($H$6:$AW$6,"本月发生额",H13:AW13)</f>
        <v>0</v>
      </c>
      <c r="AZ13" s="198">
        <f t="shared" ref="AZ13:AZ15" si="29">SUMIF($H$6:$AW$6,"本年发生额",H13:AW13)</f>
        <v>0</v>
      </c>
      <c r="BA13" s="198">
        <f t="shared" ref="BA13:BA15" si="30">SUMIF($H$6:$AW$6,"自开工累计发生额",H13:AW13)</f>
        <v>42000000</v>
      </c>
      <c r="BB13" s="198">
        <f t="shared" ref="BB13:BB15" si="31">SUMIF($H$6:$AW$6,"结转开发成本累计金额",H13:AW13)</f>
        <v>0</v>
      </c>
      <c r="BC13" s="198">
        <f t="shared" ref="BC13:BC15" si="32">SUMIF($H$6:$AW$6,"开发成本期末余额",H13:AW13)</f>
        <v>42000000</v>
      </c>
      <c r="BD13" s="199"/>
      <c r="BE13" s="199"/>
      <c r="BF13" s="199"/>
      <c r="BG13" s="198">
        <f t="shared" ref="BG13:BG15" si="33">BD13+BF13</f>
        <v>0</v>
      </c>
      <c r="BH13" s="199"/>
      <c r="BI13" s="198">
        <f t="shared" ref="BI13:BI15" si="34">BG13-BH13</f>
        <v>0</v>
      </c>
      <c r="BJ13" s="90"/>
      <c r="BK13" s="90"/>
    </row>
    <row r="14" spans="1:63" outlineLevel="1">
      <c r="A14" s="371" t="s">
        <v>548</v>
      </c>
      <c r="B14" s="198">
        <f t="shared" si="7"/>
        <v>0</v>
      </c>
      <c r="C14" s="198">
        <f t="shared" si="8"/>
        <v>0</v>
      </c>
      <c r="D14" s="198">
        <f t="shared" si="9"/>
        <v>0</v>
      </c>
      <c r="E14" s="198">
        <f t="shared" si="10"/>
        <v>0</v>
      </c>
      <c r="F14" s="198">
        <f t="shared" si="11"/>
        <v>0</v>
      </c>
      <c r="G14" s="198">
        <f t="shared" si="12"/>
        <v>0</v>
      </c>
      <c r="H14" s="199">
        <v>0</v>
      </c>
      <c r="I14" s="199"/>
      <c r="J14" s="199"/>
      <c r="K14" s="198">
        <f t="shared" si="13"/>
        <v>0</v>
      </c>
      <c r="L14" s="199"/>
      <c r="M14" s="198">
        <f t="shared" si="14"/>
        <v>0</v>
      </c>
      <c r="N14" s="199"/>
      <c r="O14" s="199"/>
      <c r="P14" s="199"/>
      <c r="Q14" s="198">
        <f t="shared" si="15"/>
        <v>0</v>
      </c>
      <c r="R14" s="199"/>
      <c r="S14" s="198">
        <f t="shared" si="16"/>
        <v>0</v>
      </c>
      <c r="T14" s="199"/>
      <c r="U14" s="199"/>
      <c r="V14" s="199"/>
      <c r="W14" s="198">
        <f t="shared" si="17"/>
        <v>0</v>
      </c>
      <c r="X14" s="199"/>
      <c r="Y14" s="198">
        <f t="shared" si="18"/>
        <v>0</v>
      </c>
      <c r="Z14" s="199"/>
      <c r="AA14" s="199"/>
      <c r="AB14" s="199"/>
      <c r="AC14" s="198">
        <f t="shared" si="19"/>
        <v>0</v>
      </c>
      <c r="AD14" s="199"/>
      <c r="AE14" s="198">
        <f t="shared" si="20"/>
        <v>0</v>
      </c>
      <c r="AF14" s="199"/>
      <c r="AG14" s="199"/>
      <c r="AH14" s="199"/>
      <c r="AI14" s="198">
        <f t="shared" si="21"/>
        <v>0</v>
      </c>
      <c r="AJ14" s="199"/>
      <c r="AK14" s="198">
        <f t="shared" si="22"/>
        <v>0</v>
      </c>
      <c r="AL14" s="199"/>
      <c r="AM14" s="199"/>
      <c r="AN14" s="199"/>
      <c r="AO14" s="198">
        <f t="shared" si="23"/>
        <v>0</v>
      </c>
      <c r="AP14" s="199"/>
      <c r="AQ14" s="198">
        <f t="shared" si="24"/>
        <v>0</v>
      </c>
      <c r="AR14" s="199"/>
      <c r="AS14" s="199"/>
      <c r="AT14" s="199"/>
      <c r="AU14" s="198">
        <f t="shared" si="25"/>
        <v>0</v>
      </c>
      <c r="AV14" s="199"/>
      <c r="AW14" s="198">
        <f t="shared" si="26"/>
        <v>0</v>
      </c>
      <c r="AX14" s="198">
        <f t="shared" si="27"/>
        <v>0</v>
      </c>
      <c r="AY14" s="198">
        <f t="shared" si="28"/>
        <v>0</v>
      </c>
      <c r="AZ14" s="198">
        <f t="shared" si="29"/>
        <v>0</v>
      </c>
      <c r="BA14" s="198">
        <f t="shared" si="30"/>
        <v>0</v>
      </c>
      <c r="BB14" s="198">
        <f t="shared" si="31"/>
        <v>0</v>
      </c>
      <c r="BC14" s="198">
        <f t="shared" si="32"/>
        <v>0</v>
      </c>
      <c r="BD14" s="199"/>
      <c r="BE14" s="199"/>
      <c r="BF14" s="199"/>
      <c r="BG14" s="198">
        <f t="shared" si="33"/>
        <v>0</v>
      </c>
      <c r="BH14" s="199"/>
      <c r="BI14" s="198">
        <f t="shared" si="34"/>
        <v>0</v>
      </c>
      <c r="BJ14" s="90"/>
      <c r="BK14" s="90"/>
    </row>
    <row r="15" spans="1:63" outlineLevel="1">
      <c r="A15" s="371" t="s">
        <v>549</v>
      </c>
      <c r="B15" s="198">
        <f t="shared" si="3"/>
        <v>0</v>
      </c>
      <c r="C15" s="198">
        <f t="shared" si="3"/>
        <v>0</v>
      </c>
      <c r="D15" s="198">
        <f t="shared" si="3"/>
        <v>0</v>
      </c>
      <c r="E15" s="198">
        <f t="shared" si="10"/>
        <v>0</v>
      </c>
      <c r="F15" s="198">
        <f t="shared" si="11"/>
        <v>0</v>
      </c>
      <c r="G15" s="198">
        <f t="shared" si="12"/>
        <v>0</v>
      </c>
      <c r="H15" s="199">
        <v>0</v>
      </c>
      <c r="I15" s="199"/>
      <c r="J15" s="199"/>
      <c r="K15" s="198">
        <f t="shared" si="6"/>
        <v>0</v>
      </c>
      <c r="L15" s="199"/>
      <c r="M15" s="198">
        <f t="shared" si="14"/>
        <v>0</v>
      </c>
      <c r="N15" s="199"/>
      <c r="O15" s="199"/>
      <c r="P15" s="199"/>
      <c r="Q15" s="198">
        <f t="shared" si="15"/>
        <v>0</v>
      </c>
      <c r="R15" s="199"/>
      <c r="S15" s="198">
        <f t="shared" si="16"/>
        <v>0</v>
      </c>
      <c r="T15" s="199"/>
      <c r="U15" s="199"/>
      <c r="V15" s="199"/>
      <c r="W15" s="198">
        <f t="shared" si="17"/>
        <v>0</v>
      </c>
      <c r="X15" s="199"/>
      <c r="Y15" s="198">
        <f t="shared" si="18"/>
        <v>0</v>
      </c>
      <c r="Z15" s="199"/>
      <c r="AA15" s="199"/>
      <c r="AB15" s="199"/>
      <c r="AC15" s="198">
        <f t="shared" si="19"/>
        <v>0</v>
      </c>
      <c r="AD15" s="199"/>
      <c r="AE15" s="198">
        <f t="shared" si="20"/>
        <v>0</v>
      </c>
      <c r="AF15" s="199"/>
      <c r="AG15" s="199"/>
      <c r="AH15" s="199"/>
      <c r="AI15" s="198">
        <f t="shared" si="21"/>
        <v>0</v>
      </c>
      <c r="AJ15" s="199"/>
      <c r="AK15" s="198">
        <f t="shared" si="22"/>
        <v>0</v>
      </c>
      <c r="AL15" s="199"/>
      <c r="AM15" s="199"/>
      <c r="AN15" s="199"/>
      <c r="AO15" s="198">
        <f t="shared" si="23"/>
        <v>0</v>
      </c>
      <c r="AP15" s="199"/>
      <c r="AQ15" s="198">
        <f t="shared" si="24"/>
        <v>0</v>
      </c>
      <c r="AR15" s="199"/>
      <c r="AS15" s="199"/>
      <c r="AT15" s="199"/>
      <c r="AU15" s="198">
        <f t="shared" si="25"/>
        <v>0</v>
      </c>
      <c r="AV15" s="199"/>
      <c r="AW15" s="198">
        <f t="shared" si="26"/>
        <v>0</v>
      </c>
      <c r="AX15" s="198">
        <f t="shared" si="27"/>
        <v>0</v>
      </c>
      <c r="AY15" s="198">
        <f t="shared" si="28"/>
        <v>0</v>
      </c>
      <c r="AZ15" s="198">
        <f t="shared" si="29"/>
        <v>0</v>
      </c>
      <c r="BA15" s="198">
        <f t="shared" si="30"/>
        <v>0</v>
      </c>
      <c r="BB15" s="198">
        <f t="shared" si="31"/>
        <v>0</v>
      </c>
      <c r="BC15" s="198">
        <f t="shared" si="32"/>
        <v>0</v>
      </c>
      <c r="BD15" s="199"/>
      <c r="BE15" s="199"/>
      <c r="BF15" s="199"/>
      <c r="BG15" s="198">
        <f t="shared" si="33"/>
        <v>0</v>
      </c>
      <c r="BH15" s="199"/>
      <c r="BI15" s="198">
        <f t="shared" si="34"/>
        <v>0</v>
      </c>
      <c r="BJ15" s="90">
        <f t="shared" si="4"/>
        <v>0</v>
      </c>
      <c r="BK15" s="90">
        <f t="shared" si="5"/>
        <v>0</v>
      </c>
    </row>
    <row r="16" spans="1:63">
      <c r="A16" s="370" t="s">
        <v>550</v>
      </c>
      <c r="B16" s="197">
        <f t="shared" ref="B16:G16" si="35">SUM(B17:B23)</f>
        <v>52784489.920000002</v>
      </c>
      <c r="C16" s="197">
        <f t="shared" si="35"/>
        <v>63657.47</v>
      </c>
      <c r="D16" s="197">
        <f t="shared" si="35"/>
        <v>384758.39</v>
      </c>
      <c r="E16" s="197">
        <f t="shared" si="35"/>
        <v>53169248.310000002</v>
      </c>
      <c r="F16" s="197">
        <f t="shared" si="35"/>
        <v>0</v>
      </c>
      <c r="G16" s="197">
        <f t="shared" si="35"/>
        <v>53169248.310000002</v>
      </c>
      <c r="H16" s="197">
        <f t="shared" ref="H16:AW16" si="36">SUM(H17:H23)</f>
        <v>52784489.920000002</v>
      </c>
      <c r="I16" s="197">
        <f t="shared" si="36"/>
        <v>63657.47</v>
      </c>
      <c r="J16" s="197">
        <f t="shared" si="36"/>
        <v>384758.39</v>
      </c>
      <c r="K16" s="197">
        <f>SUM(K17:K23)</f>
        <v>53169248.310000002</v>
      </c>
      <c r="L16" s="197">
        <f t="shared" si="36"/>
        <v>0</v>
      </c>
      <c r="M16" s="197">
        <f t="shared" si="36"/>
        <v>53169248.310000002</v>
      </c>
      <c r="N16" s="197">
        <f t="shared" si="36"/>
        <v>0</v>
      </c>
      <c r="O16" s="197">
        <f t="shared" si="36"/>
        <v>0</v>
      </c>
      <c r="P16" s="197">
        <f t="shared" si="36"/>
        <v>0</v>
      </c>
      <c r="Q16" s="197">
        <f t="shared" si="36"/>
        <v>0</v>
      </c>
      <c r="R16" s="197">
        <f t="shared" si="36"/>
        <v>0</v>
      </c>
      <c r="S16" s="197">
        <f t="shared" si="36"/>
        <v>0</v>
      </c>
      <c r="T16" s="197">
        <f t="shared" si="36"/>
        <v>0</v>
      </c>
      <c r="U16" s="197">
        <f t="shared" si="36"/>
        <v>0</v>
      </c>
      <c r="V16" s="197">
        <f t="shared" si="36"/>
        <v>0</v>
      </c>
      <c r="W16" s="197">
        <f t="shared" si="36"/>
        <v>0</v>
      </c>
      <c r="X16" s="197">
        <f t="shared" si="36"/>
        <v>0</v>
      </c>
      <c r="Y16" s="197">
        <f t="shared" si="36"/>
        <v>0</v>
      </c>
      <c r="Z16" s="197">
        <f t="shared" si="36"/>
        <v>0</v>
      </c>
      <c r="AA16" s="197">
        <f t="shared" si="36"/>
        <v>0</v>
      </c>
      <c r="AB16" s="197">
        <f t="shared" si="36"/>
        <v>0</v>
      </c>
      <c r="AC16" s="197">
        <f t="shared" si="36"/>
        <v>0</v>
      </c>
      <c r="AD16" s="197">
        <f t="shared" si="36"/>
        <v>0</v>
      </c>
      <c r="AE16" s="197">
        <f t="shared" si="36"/>
        <v>0</v>
      </c>
      <c r="AF16" s="197">
        <f t="shared" si="36"/>
        <v>0</v>
      </c>
      <c r="AG16" s="197">
        <f t="shared" si="36"/>
        <v>0</v>
      </c>
      <c r="AH16" s="197">
        <f t="shared" si="36"/>
        <v>0</v>
      </c>
      <c r="AI16" s="197">
        <f t="shared" si="36"/>
        <v>0</v>
      </c>
      <c r="AJ16" s="197">
        <f t="shared" si="36"/>
        <v>0</v>
      </c>
      <c r="AK16" s="197">
        <f t="shared" si="36"/>
        <v>0</v>
      </c>
      <c r="AL16" s="197">
        <f t="shared" si="36"/>
        <v>0</v>
      </c>
      <c r="AM16" s="197">
        <f t="shared" si="36"/>
        <v>0</v>
      </c>
      <c r="AN16" s="197">
        <f t="shared" si="36"/>
        <v>0</v>
      </c>
      <c r="AO16" s="197">
        <f t="shared" si="36"/>
        <v>0</v>
      </c>
      <c r="AP16" s="197">
        <f t="shared" si="36"/>
        <v>0</v>
      </c>
      <c r="AQ16" s="197">
        <f t="shared" si="36"/>
        <v>0</v>
      </c>
      <c r="AR16" s="197">
        <f t="shared" si="36"/>
        <v>0</v>
      </c>
      <c r="AS16" s="197">
        <f t="shared" si="36"/>
        <v>0</v>
      </c>
      <c r="AT16" s="197">
        <f t="shared" si="36"/>
        <v>0</v>
      </c>
      <c r="AU16" s="197">
        <f t="shared" si="36"/>
        <v>0</v>
      </c>
      <c r="AV16" s="197">
        <f t="shared" si="36"/>
        <v>0</v>
      </c>
      <c r="AW16" s="197">
        <f t="shared" si="36"/>
        <v>0</v>
      </c>
      <c r="AX16" s="197">
        <f t="shared" ref="AX16:BI16" si="37">SUM(AX17:AX23)</f>
        <v>52784489.920000002</v>
      </c>
      <c r="AY16" s="197">
        <f t="shared" si="37"/>
        <v>63657.47</v>
      </c>
      <c r="AZ16" s="197">
        <f t="shared" si="37"/>
        <v>384758.39</v>
      </c>
      <c r="BA16" s="197">
        <f t="shared" si="37"/>
        <v>53169248.310000002</v>
      </c>
      <c r="BB16" s="197">
        <f t="shared" si="37"/>
        <v>0</v>
      </c>
      <c r="BC16" s="197">
        <f t="shared" si="37"/>
        <v>53169248.310000002</v>
      </c>
      <c r="BD16" s="197">
        <f t="shared" si="37"/>
        <v>0</v>
      </c>
      <c r="BE16" s="197">
        <f t="shared" si="37"/>
        <v>0</v>
      </c>
      <c r="BF16" s="197">
        <f t="shared" si="37"/>
        <v>0</v>
      </c>
      <c r="BG16" s="197">
        <f t="shared" si="37"/>
        <v>0</v>
      </c>
      <c r="BH16" s="197">
        <f t="shared" si="37"/>
        <v>0</v>
      </c>
      <c r="BI16" s="197">
        <f t="shared" si="37"/>
        <v>0</v>
      </c>
      <c r="BJ16" s="90">
        <f t="shared" si="4"/>
        <v>0</v>
      </c>
      <c r="BK16" s="90">
        <f t="shared" si="5"/>
        <v>0</v>
      </c>
    </row>
    <row r="17" spans="1:63" outlineLevel="1">
      <c r="A17" s="371" t="s">
        <v>551</v>
      </c>
      <c r="B17" s="198">
        <f t="shared" ref="B17:D23" si="38">AX17+BD17</f>
        <v>25043953.039999999</v>
      </c>
      <c r="C17" s="198">
        <f t="shared" si="38"/>
        <v>0</v>
      </c>
      <c r="D17" s="198">
        <f t="shared" si="38"/>
        <v>0</v>
      </c>
      <c r="E17" s="198">
        <f>B17+D17</f>
        <v>25043953.039999999</v>
      </c>
      <c r="F17" s="198">
        <f>BB17+BH17</f>
        <v>0</v>
      </c>
      <c r="G17" s="198">
        <f>E17-F17</f>
        <v>25043953.039999999</v>
      </c>
      <c r="H17" s="199">
        <v>25043953.039999999</v>
      </c>
      <c r="I17" s="199"/>
      <c r="J17" s="199"/>
      <c r="K17" s="198">
        <f>H17+J17</f>
        <v>25043953.039999999</v>
      </c>
      <c r="L17" s="199"/>
      <c r="M17" s="198">
        <f>K17-L17</f>
        <v>25043953.039999999</v>
      </c>
      <c r="N17" s="199"/>
      <c r="O17" s="199"/>
      <c r="P17" s="199"/>
      <c r="Q17" s="198">
        <f>N17+P17</f>
        <v>0</v>
      </c>
      <c r="R17" s="199"/>
      <c r="S17" s="198">
        <f>Q17-R17</f>
        <v>0</v>
      </c>
      <c r="T17" s="199"/>
      <c r="U17" s="199"/>
      <c r="V17" s="199"/>
      <c r="W17" s="198">
        <f>T17+V17</f>
        <v>0</v>
      </c>
      <c r="X17" s="199"/>
      <c r="Y17" s="198">
        <f>W17-X17</f>
        <v>0</v>
      </c>
      <c r="Z17" s="199"/>
      <c r="AA17" s="199"/>
      <c r="AB17" s="199"/>
      <c r="AC17" s="198">
        <f>Z17+AB17</f>
        <v>0</v>
      </c>
      <c r="AD17" s="199"/>
      <c r="AE17" s="198">
        <f>AC17-AD17</f>
        <v>0</v>
      </c>
      <c r="AF17" s="199"/>
      <c r="AG17" s="199"/>
      <c r="AH17" s="199"/>
      <c r="AI17" s="198">
        <f>AF17+AH17</f>
        <v>0</v>
      </c>
      <c r="AJ17" s="199"/>
      <c r="AK17" s="198">
        <f>AI17-AJ17</f>
        <v>0</v>
      </c>
      <c r="AL17" s="199"/>
      <c r="AM17" s="199"/>
      <c r="AN17" s="199"/>
      <c r="AO17" s="198">
        <f>AL17+AN17</f>
        <v>0</v>
      </c>
      <c r="AP17" s="199"/>
      <c r="AQ17" s="198">
        <f>AO17-AP17</f>
        <v>0</v>
      </c>
      <c r="AR17" s="199"/>
      <c r="AS17" s="199"/>
      <c r="AT17" s="199"/>
      <c r="AU17" s="198">
        <f>AR17+AT17</f>
        <v>0</v>
      </c>
      <c r="AV17" s="199"/>
      <c r="AW17" s="198">
        <f>AU17-AV17</f>
        <v>0</v>
      </c>
      <c r="AX17" s="198">
        <f>SUMIF($H$6:$AW$6,"年初累计发生额",H17:AW17)</f>
        <v>25043953.039999999</v>
      </c>
      <c r="AY17" s="198">
        <f>SUMIF($H$6:$AW$6,"本月发生额",H17:AW17)</f>
        <v>0</v>
      </c>
      <c r="AZ17" s="198">
        <f>SUMIF($H$6:$AW$6,"本年发生额",H17:AW17)</f>
        <v>0</v>
      </c>
      <c r="BA17" s="198">
        <f>SUMIF($H$6:$AW$6,"自开工累计发生额",H17:AW17)</f>
        <v>25043953.039999999</v>
      </c>
      <c r="BB17" s="198">
        <f>SUMIF($H$6:$AW$6,"结转开发成本累计金额",H17:AW17)</f>
        <v>0</v>
      </c>
      <c r="BC17" s="198">
        <f>SUMIF($H$6:$AW$6,"开发成本期末余额",H17:AW17)</f>
        <v>25043953.039999999</v>
      </c>
      <c r="BD17" s="199"/>
      <c r="BE17" s="199"/>
      <c r="BF17" s="199"/>
      <c r="BG17" s="198">
        <f>BD17+BF17</f>
        <v>0</v>
      </c>
      <c r="BH17" s="199"/>
      <c r="BI17" s="198">
        <f>BG17-BH17</f>
        <v>0</v>
      </c>
      <c r="BJ17" s="90">
        <f t="shared" si="4"/>
        <v>0</v>
      </c>
      <c r="BK17" s="90">
        <f t="shared" si="5"/>
        <v>0</v>
      </c>
    </row>
    <row r="18" spans="1:63" outlineLevel="1">
      <c r="A18" s="371" t="s">
        <v>552</v>
      </c>
      <c r="B18" s="198">
        <f t="shared" si="38"/>
        <v>0</v>
      </c>
      <c r="C18" s="198">
        <f t="shared" si="38"/>
        <v>0</v>
      </c>
      <c r="D18" s="198">
        <f t="shared" si="38"/>
        <v>0</v>
      </c>
      <c r="E18" s="198">
        <f>B18+D18</f>
        <v>0</v>
      </c>
      <c r="F18" s="198">
        <f>BB18+BH18</f>
        <v>0</v>
      </c>
      <c r="G18" s="198">
        <f>E18-F18</f>
        <v>0</v>
      </c>
      <c r="H18" s="199">
        <v>0</v>
      </c>
      <c r="I18" s="199"/>
      <c r="J18" s="199"/>
      <c r="K18" s="198">
        <f t="shared" si="6"/>
        <v>0</v>
      </c>
      <c r="L18" s="199"/>
      <c r="M18" s="198">
        <f>K18-L18</f>
        <v>0</v>
      </c>
      <c r="N18" s="199"/>
      <c r="O18" s="199"/>
      <c r="P18" s="199"/>
      <c r="Q18" s="198">
        <f>N18+P18</f>
        <v>0</v>
      </c>
      <c r="R18" s="199"/>
      <c r="S18" s="198">
        <f>Q18-R18</f>
        <v>0</v>
      </c>
      <c r="T18" s="199"/>
      <c r="U18" s="199"/>
      <c r="V18" s="199"/>
      <c r="W18" s="198">
        <f>T18+V18</f>
        <v>0</v>
      </c>
      <c r="X18" s="199"/>
      <c r="Y18" s="198">
        <f>W18-X18</f>
        <v>0</v>
      </c>
      <c r="Z18" s="199"/>
      <c r="AA18" s="199"/>
      <c r="AB18" s="199"/>
      <c r="AC18" s="198">
        <f>Z18+AB18</f>
        <v>0</v>
      </c>
      <c r="AD18" s="199"/>
      <c r="AE18" s="198">
        <f>AC18-AD18</f>
        <v>0</v>
      </c>
      <c r="AF18" s="199"/>
      <c r="AG18" s="199"/>
      <c r="AH18" s="199"/>
      <c r="AI18" s="198">
        <f>AF18+AH18</f>
        <v>0</v>
      </c>
      <c r="AJ18" s="199"/>
      <c r="AK18" s="198">
        <f>AI18-AJ18</f>
        <v>0</v>
      </c>
      <c r="AL18" s="199"/>
      <c r="AM18" s="199"/>
      <c r="AN18" s="199"/>
      <c r="AO18" s="198">
        <f>AL18+AN18</f>
        <v>0</v>
      </c>
      <c r="AP18" s="199"/>
      <c r="AQ18" s="198">
        <f>AO18-AP18</f>
        <v>0</v>
      </c>
      <c r="AR18" s="199"/>
      <c r="AS18" s="199"/>
      <c r="AT18" s="199"/>
      <c r="AU18" s="198">
        <f>AR18+AT18</f>
        <v>0</v>
      </c>
      <c r="AV18" s="199"/>
      <c r="AW18" s="198">
        <f>AU18-AV18</f>
        <v>0</v>
      </c>
      <c r="AX18" s="198">
        <f>SUMIF($H$6:$AW$6,"年初累计发生额",H18:AW18)</f>
        <v>0</v>
      </c>
      <c r="AY18" s="198">
        <f>SUMIF($H$6:$AW$6,"本月发生额",H18:AW18)</f>
        <v>0</v>
      </c>
      <c r="AZ18" s="198">
        <f>SUMIF($H$6:$AW$6,"本年发生额",H18:AW18)</f>
        <v>0</v>
      </c>
      <c r="BA18" s="198">
        <f>SUMIF($H$6:$AW$6,"自开工累计发生额",H18:AW18)</f>
        <v>0</v>
      </c>
      <c r="BB18" s="198">
        <f>SUMIF($H$6:$AW$6,"结转开发成本累计金额",H18:AW18)</f>
        <v>0</v>
      </c>
      <c r="BC18" s="198">
        <f>SUMIF($H$6:$AW$6,"开发成本期末余额",H18:AW18)</f>
        <v>0</v>
      </c>
      <c r="BD18" s="199"/>
      <c r="BE18" s="199"/>
      <c r="BF18" s="199"/>
      <c r="BG18" s="198">
        <f>BD18+BF18</f>
        <v>0</v>
      </c>
      <c r="BH18" s="199"/>
      <c r="BI18" s="198">
        <f>BG18-BH18</f>
        <v>0</v>
      </c>
      <c r="BJ18" s="90">
        <f t="shared" si="4"/>
        <v>0</v>
      </c>
      <c r="BK18" s="90">
        <f t="shared" si="5"/>
        <v>0</v>
      </c>
    </row>
    <row r="19" spans="1:63" outlineLevel="1">
      <c r="A19" s="371" t="s">
        <v>553</v>
      </c>
      <c r="B19" s="198">
        <f t="shared" si="38"/>
        <v>0</v>
      </c>
      <c r="C19" s="198">
        <f t="shared" si="38"/>
        <v>0</v>
      </c>
      <c r="D19" s="198">
        <f t="shared" si="38"/>
        <v>0</v>
      </c>
      <c r="E19" s="198">
        <f>B19+D19</f>
        <v>0</v>
      </c>
      <c r="F19" s="198">
        <f>BB19+BH19</f>
        <v>0</v>
      </c>
      <c r="G19" s="198">
        <f>E19-F19</f>
        <v>0</v>
      </c>
      <c r="H19" s="199">
        <v>0</v>
      </c>
      <c r="I19" s="199"/>
      <c r="J19" s="199"/>
      <c r="K19" s="198">
        <f t="shared" si="6"/>
        <v>0</v>
      </c>
      <c r="L19" s="199"/>
      <c r="M19" s="198">
        <f>K19-L19</f>
        <v>0</v>
      </c>
      <c r="N19" s="199"/>
      <c r="O19" s="199"/>
      <c r="P19" s="199"/>
      <c r="Q19" s="198">
        <f>N19+P19</f>
        <v>0</v>
      </c>
      <c r="R19" s="199"/>
      <c r="S19" s="198">
        <f>Q19-R19</f>
        <v>0</v>
      </c>
      <c r="T19" s="199"/>
      <c r="U19" s="199"/>
      <c r="V19" s="199"/>
      <c r="W19" s="198">
        <f>T19+V19</f>
        <v>0</v>
      </c>
      <c r="X19" s="199"/>
      <c r="Y19" s="198">
        <f>W19-X19</f>
        <v>0</v>
      </c>
      <c r="Z19" s="199"/>
      <c r="AA19" s="199"/>
      <c r="AB19" s="199"/>
      <c r="AC19" s="198">
        <f>Z19+AB19</f>
        <v>0</v>
      </c>
      <c r="AD19" s="199"/>
      <c r="AE19" s="198">
        <f>AC19-AD19</f>
        <v>0</v>
      </c>
      <c r="AF19" s="199"/>
      <c r="AG19" s="199"/>
      <c r="AH19" s="199"/>
      <c r="AI19" s="198">
        <f>AF19+AH19</f>
        <v>0</v>
      </c>
      <c r="AJ19" s="199"/>
      <c r="AK19" s="198">
        <f>AI19-AJ19</f>
        <v>0</v>
      </c>
      <c r="AL19" s="199"/>
      <c r="AM19" s="199"/>
      <c r="AN19" s="199"/>
      <c r="AO19" s="198">
        <f>AL19+AN19</f>
        <v>0</v>
      </c>
      <c r="AP19" s="199"/>
      <c r="AQ19" s="198">
        <f>AO19-AP19</f>
        <v>0</v>
      </c>
      <c r="AR19" s="199"/>
      <c r="AS19" s="199"/>
      <c r="AT19" s="199"/>
      <c r="AU19" s="198">
        <f>AR19+AT19</f>
        <v>0</v>
      </c>
      <c r="AV19" s="199"/>
      <c r="AW19" s="198">
        <f>AU19-AV19</f>
        <v>0</v>
      </c>
      <c r="AX19" s="198">
        <f>SUMIF($H$6:$AW$6,"年初累计发生额",H19:AW19)</f>
        <v>0</v>
      </c>
      <c r="AY19" s="198">
        <f>SUMIF($H$6:$AW$6,"本月发生额",H19:AW19)</f>
        <v>0</v>
      </c>
      <c r="AZ19" s="198">
        <f>SUMIF($H$6:$AW$6,"本年发生额",H19:AW19)</f>
        <v>0</v>
      </c>
      <c r="BA19" s="198">
        <f>SUMIF($H$6:$AW$6,"自开工累计发生额",H19:AW19)</f>
        <v>0</v>
      </c>
      <c r="BB19" s="198">
        <f>SUMIF($H$6:$AW$6,"结转开发成本累计金额",H19:AW19)</f>
        <v>0</v>
      </c>
      <c r="BC19" s="198">
        <f>SUMIF($H$6:$AW$6,"开发成本期末余额",H19:AW19)</f>
        <v>0</v>
      </c>
      <c r="BD19" s="199"/>
      <c r="BE19" s="199"/>
      <c r="BF19" s="199"/>
      <c r="BG19" s="198">
        <f>BD19+BF19</f>
        <v>0</v>
      </c>
      <c r="BH19" s="199"/>
      <c r="BI19" s="198">
        <f>BG19-BH19</f>
        <v>0</v>
      </c>
      <c r="BJ19" s="90">
        <f t="shared" si="4"/>
        <v>0</v>
      </c>
      <c r="BK19" s="90">
        <f t="shared" si="5"/>
        <v>0</v>
      </c>
    </row>
    <row r="20" spans="1:63" outlineLevel="1">
      <c r="A20" s="371" t="s">
        <v>554</v>
      </c>
      <c r="B20" s="198">
        <f t="shared" si="38"/>
        <v>1516365.79</v>
      </c>
      <c r="C20" s="198">
        <f t="shared" si="38"/>
        <v>0</v>
      </c>
      <c r="D20" s="198">
        <f t="shared" si="38"/>
        <v>321100.92</v>
      </c>
      <c r="E20" s="198">
        <f>B20+D20</f>
        <v>1837466.71</v>
      </c>
      <c r="F20" s="198">
        <f>BB20+BH20</f>
        <v>0</v>
      </c>
      <c r="G20" s="198">
        <f>E20-F20</f>
        <v>1837466.71</v>
      </c>
      <c r="H20" s="199">
        <v>1516365.79</v>
      </c>
      <c r="I20" s="373"/>
      <c r="J20" s="199">
        <v>321100.92</v>
      </c>
      <c r="K20" s="198">
        <f t="shared" si="6"/>
        <v>1837466.71</v>
      </c>
      <c r="L20" s="199"/>
      <c r="M20" s="198">
        <f>K20-L20</f>
        <v>1837466.71</v>
      </c>
      <c r="N20" s="199"/>
      <c r="O20" s="199"/>
      <c r="P20" s="199"/>
      <c r="Q20" s="198">
        <f>N20+P20</f>
        <v>0</v>
      </c>
      <c r="R20" s="199"/>
      <c r="S20" s="198">
        <f>Q20-R20</f>
        <v>0</v>
      </c>
      <c r="T20" s="199"/>
      <c r="U20" s="199"/>
      <c r="V20" s="199"/>
      <c r="W20" s="198">
        <f>T20+V20</f>
        <v>0</v>
      </c>
      <c r="X20" s="199"/>
      <c r="Y20" s="198">
        <f>W20-X20</f>
        <v>0</v>
      </c>
      <c r="Z20" s="199"/>
      <c r="AA20" s="199"/>
      <c r="AB20" s="199"/>
      <c r="AC20" s="198">
        <f>Z20+AB20</f>
        <v>0</v>
      </c>
      <c r="AD20" s="199"/>
      <c r="AE20" s="198">
        <f>AC20-AD20</f>
        <v>0</v>
      </c>
      <c r="AF20" s="199"/>
      <c r="AG20" s="199"/>
      <c r="AH20" s="199"/>
      <c r="AI20" s="198">
        <f>AF20+AH20</f>
        <v>0</v>
      </c>
      <c r="AJ20" s="199"/>
      <c r="AK20" s="198">
        <f>AI20-AJ20</f>
        <v>0</v>
      </c>
      <c r="AL20" s="199"/>
      <c r="AM20" s="199"/>
      <c r="AN20" s="199"/>
      <c r="AO20" s="198">
        <f>AL20+AN20</f>
        <v>0</v>
      </c>
      <c r="AP20" s="199"/>
      <c r="AQ20" s="198">
        <f>AO20-AP20</f>
        <v>0</v>
      </c>
      <c r="AR20" s="199"/>
      <c r="AS20" s="199"/>
      <c r="AT20" s="199"/>
      <c r="AU20" s="198">
        <f>AR20+AT20</f>
        <v>0</v>
      </c>
      <c r="AV20" s="199"/>
      <c r="AW20" s="198">
        <f>AU20-AV20</f>
        <v>0</v>
      </c>
      <c r="AX20" s="198">
        <f>SUMIF($H$6:$AW$6,"年初累计发生额",H20:AW20)</f>
        <v>1516365.79</v>
      </c>
      <c r="AY20" s="198">
        <f>SUMIF($H$6:$AW$6,"本月发生额",H20:AW20)</f>
        <v>0</v>
      </c>
      <c r="AZ20" s="198">
        <f>SUMIF($H$6:$AW$6,"本年发生额",H20:AW20)</f>
        <v>321100.92</v>
      </c>
      <c r="BA20" s="198">
        <f>SUMIF($H$6:$AW$6,"自开工累计发生额",H20:AW20)</f>
        <v>1837466.71</v>
      </c>
      <c r="BB20" s="198">
        <f>SUMIF($H$6:$AW$6,"结转开发成本累计金额",H20:AW20)</f>
        <v>0</v>
      </c>
      <c r="BC20" s="198">
        <f>SUMIF($H$6:$AW$6,"开发成本期末余额",H20:AW20)</f>
        <v>1837466.71</v>
      </c>
      <c r="BD20" s="199"/>
      <c r="BE20" s="199"/>
      <c r="BF20" s="199"/>
      <c r="BG20" s="198">
        <f>BD20+BF20</f>
        <v>0</v>
      </c>
      <c r="BH20" s="199"/>
      <c r="BI20" s="198">
        <f>BG20-BH20</f>
        <v>0</v>
      </c>
      <c r="BJ20" s="90">
        <f t="shared" si="4"/>
        <v>0</v>
      </c>
      <c r="BK20" s="90">
        <f t="shared" si="5"/>
        <v>0</v>
      </c>
    </row>
    <row r="21" spans="1:63" outlineLevel="1">
      <c r="A21" s="371" t="s">
        <v>555</v>
      </c>
      <c r="B21" s="198">
        <f t="shared" ref="B21:B22" si="39">AX21+BD21</f>
        <v>0</v>
      </c>
      <c r="C21" s="198">
        <f t="shared" ref="C21:C22" si="40">AY21+BE21</f>
        <v>0</v>
      </c>
      <c r="D21" s="198">
        <f t="shared" ref="D21:D22" si="41">AZ21+BF21</f>
        <v>0</v>
      </c>
      <c r="E21" s="198">
        <f t="shared" ref="E21:E23" si="42">B21+D21</f>
        <v>0</v>
      </c>
      <c r="F21" s="198">
        <f t="shared" ref="F21:F23" si="43">BB21+BH21</f>
        <v>0</v>
      </c>
      <c r="G21" s="198">
        <f t="shared" ref="G21:G23" si="44">E21-F21</f>
        <v>0</v>
      </c>
      <c r="H21" s="199">
        <v>0</v>
      </c>
      <c r="I21" s="199"/>
      <c r="J21" s="199"/>
      <c r="K21" s="198">
        <f t="shared" ref="K21:K22" si="45">H21+J21</f>
        <v>0</v>
      </c>
      <c r="L21" s="199"/>
      <c r="M21" s="198">
        <f t="shared" ref="M21:M23" si="46">K21-L21</f>
        <v>0</v>
      </c>
      <c r="N21" s="199"/>
      <c r="O21" s="199"/>
      <c r="P21" s="199"/>
      <c r="Q21" s="198">
        <f t="shared" ref="Q21:Q23" si="47">N21+P21</f>
        <v>0</v>
      </c>
      <c r="R21" s="199"/>
      <c r="S21" s="198">
        <f t="shared" ref="S21:S23" si="48">Q21-R21</f>
        <v>0</v>
      </c>
      <c r="T21" s="199"/>
      <c r="U21" s="199"/>
      <c r="V21" s="199"/>
      <c r="W21" s="198">
        <f t="shared" ref="W21:W23" si="49">T21+V21</f>
        <v>0</v>
      </c>
      <c r="X21" s="199"/>
      <c r="Y21" s="198">
        <f t="shared" ref="Y21:Y23" si="50">W21-X21</f>
        <v>0</v>
      </c>
      <c r="Z21" s="199"/>
      <c r="AA21" s="199"/>
      <c r="AB21" s="199"/>
      <c r="AC21" s="198">
        <f t="shared" ref="AC21:AC23" si="51">Z21+AB21</f>
        <v>0</v>
      </c>
      <c r="AD21" s="199"/>
      <c r="AE21" s="198">
        <f t="shared" ref="AE21:AE23" si="52">AC21-AD21</f>
        <v>0</v>
      </c>
      <c r="AF21" s="199"/>
      <c r="AG21" s="199"/>
      <c r="AH21" s="199"/>
      <c r="AI21" s="198">
        <f t="shared" ref="AI21:AI23" si="53">AF21+AH21</f>
        <v>0</v>
      </c>
      <c r="AJ21" s="199"/>
      <c r="AK21" s="198">
        <f t="shared" ref="AK21:AK23" si="54">AI21-AJ21</f>
        <v>0</v>
      </c>
      <c r="AL21" s="199"/>
      <c r="AM21" s="199"/>
      <c r="AN21" s="199"/>
      <c r="AO21" s="198">
        <f t="shared" ref="AO21:AO23" si="55">AL21+AN21</f>
        <v>0</v>
      </c>
      <c r="AP21" s="199"/>
      <c r="AQ21" s="198">
        <f t="shared" ref="AQ21:AQ23" si="56">AO21-AP21</f>
        <v>0</v>
      </c>
      <c r="AR21" s="199"/>
      <c r="AS21" s="199"/>
      <c r="AT21" s="199"/>
      <c r="AU21" s="198">
        <f t="shared" ref="AU21:AU23" si="57">AR21+AT21</f>
        <v>0</v>
      </c>
      <c r="AV21" s="199"/>
      <c r="AW21" s="198">
        <f t="shared" ref="AW21:AW23" si="58">AU21-AV21</f>
        <v>0</v>
      </c>
      <c r="AX21" s="198">
        <f t="shared" ref="AX21:AX23" si="59">SUMIF($H$6:$AW$6,"年初累计发生额",H21:AW21)</f>
        <v>0</v>
      </c>
      <c r="AY21" s="198">
        <f t="shared" ref="AY21:AY23" si="60">SUMIF($H$6:$AW$6,"本月发生额",H21:AW21)</f>
        <v>0</v>
      </c>
      <c r="AZ21" s="198">
        <f t="shared" ref="AZ21:AZ23" si="61">SUMIF($H$6:$AW$6,"本年发生额",H21:AW21)</f>
        <v>0</v>
      </c>
      <c r="BA21" s="198">
        <f t="shared" ref="BA21:BA23" si="62">SUMIF($H$6:$AW$6,"自开工累计发生额",H21:AW21)</f>
        <v>0</v>
      </c>
      <c r="BB21" s="198">
        <f t="shared" ref="BB21:BB23" si="63">SUMIF($H$6:$AW$6,"结转开发成本累计金额",H21:AW21)</f>
        <v>0</v>
      </c>
      <c r="BC21" s="198">
        <f t="shared" ref="BC21:BC23" si="64">SUMIF($H$6:$AW$6,"开发成本期末余额",H21:AW21)</f>
        <v>0</v>
      </c>
      <c r="BD21" s="199"/>
      <c r="BE21" s="199"/>
      <c r="BF21" s="199"/>
      <c r="BG21" s="198">
        <f t="shared" ref="BG21:BG23" si="65">BD21+BF21</f>
        <v>0</v>
      </c>
      <c r="BH21" s="199"/>
      <c r="BI21" s="198">
        <f t="shared" ref="BI21:BI23" si="66">BG21-BH21</f>
        <v>0</v>
      </c>
      <c r="BJ21" s="90"/>
      <c r="BK21" s="90"/>
    </row>
    <row r="22" spans="1:63" outlineLevel="1">
      <c r="A22" s="371" t="s">
        <v>556</v>
      </c>
      <c r="B22" s="198">
        <f t="shared" si="39"/>
        <v>24075806.370000001</v>
      </c>
      <c r="C22" s="198">
        <f t="shared" si="40"/>
        <v>63657.47</v>
      </c>
      <c r="D22" s="198">
        <f t="shared" si="41"/>
        <v>63657.47</v>
      </c>
      <c r="E22" s="198">
        <f t="shared" si="42"/>
        <v>24139463.84</v>
      </c>
      <c r="F22" s="198">
        <f t="shared" si="43"/>
        <v>0</v>
      </c>
      <c r="G22" s="198">
        <f t="shared" si="44"/>
        <v>24139463.84</v>
      </c>
      <c r="H22" s="199">
        <v>24075806.370000001</v>
      </c>
      <c r="I22" s="199">
        <v>63657.47</v>
      </c>
      <c r="J22" s="199">
        <f>I22</f>
        <v>63657.47</v>
      </c>
      <c r="K22" s="198">
        <f t="shared" si="45"/>
        <v>24139463.84</v>
      </c>
      <c r="L22" s="199"/>
      <c r="M22" s="198">
        <f t="shared" si="46"/>
        <v>24139463.84</v>
      </c>
      <c r="N22" s="199"/>
      <c r="O22" s="199"/>
      <c r="P22" s="199"/>
      <c r="Q22" s="198">
        <f t="shared" si="47"/>
        <v>0</v>
      </c>
      <c r="R22" s="199"/>
      <c r="S22" s="198">
        <f t="shared" si="48"/>
        <v>0</v>
      </c>
      <c r="T22" s="199"/>
      <c r="U22" s="199"/>
      <c r="V22" s="199"/>
      <c r="W22" s="198">
        <f t="shared" si="49"/>
        <v>0</v>
      </c>
      <c r="X22" s="199"/>
      <c r="Y22" s="198">
        <f t="shared" si="50"/>
        <v>0</v>
      </c>
      <c r="Z22" s="199"/>
      <c r="AA22" s="199"/>
      <c r="AB22" s="199"/>
      <c r="AC22" s="198">
        <f t="shared" si="51"/>
        <v>0</v>
      </c>
      <c r="AD22" s="199"/>
      <c r="AE22" s="198">
        <f t="shared" si="52"/>
        <v>0</v>
      </c>
      <c r="AF22" s="199"/>
      <c r="AG22" s="199"/>
      <c r="AH22" s="199"/>
      <c r="AI22" s="198">
        <f t="shared" si="53"/>
        <v>0</v>
      </c>
      <c r="AJ22" s="199"/>
      <c r="AK22" s="198">
        <f t="shared" si="54"/>
        <v>0</v>
      </c>
      <c r="AL22" s="199"/>
      <c r="AM22" s="199"/>
      <c r="AN22" s="199"/>
      <c r="AO22" s="198">
        <f t="shared" si="55"/>
        <v>0</v>
      </c>
      <c r="AP22" s="199"/>
      <c r="AQ22" s="198">
        <f t="shared" si="56"/>
        <v>0</v>
      </c>
      <c r="AR22" s="199"/>
      <c r="AS22" s="199"/>
      <c r="AT22" s="199"/>
      <c r="AU22" s="198">
        <f t="shared" si="57"/>
        <v>0</v>
      </c>
      <c r="AV22" s="199"/>
      <c r="AW22" s="198">
        <f t="shared" si="58"/>
        <v>0</v>
      </c>
      <c r="AX22" s="198">
        <f t="shared" si="59"/>
        <v>24075806.370000001</v>
      </c>
      <c r="AY22" s="198">
        <f t="shared" si="60"/>
        <v>63657.47</v>
      </c>
      <c r="AZ22" s="198">
        <f t="shared" si="61"/>
        <v>63657.47</v>
      </c>
      <c r="BA22" s="198">
        <f t="shared" si="62"/>
        <v>24139463.84</v>
      </c>
      <c r="BB22" s="198">
        <f t="shared" si="63"/>
        <v>0</v>
      </c>
      <c r="BC22" s="198">
        <f t="shared" si="64"/>
        <v>24139463.84</v>
      </c>
      <c r="BD22" s="199"/>
      <c r="BE22" s="199"/>
      <c r="BF22" s="199"/>
      <c r="BG22" s="198">
        <f t="shared" si="65"/>
        <v>0</v>
      </c>
      <c r="BH22" s="199"/>
      <c r="BI22" s="198">
        <f t="shared" si="66"/>
        <v>0</v>
      </c>
      <c r="BJ22" s="90"/>
      <c r="BK22" s="90"/>
    </row>
    <row r="23" spans="1:63" outlineLevel="1">
      <c r="A23" s="371" t="s">
        <v>557</v>
      </c>
      <c r="B23" s="198">
        <f t="shared" si="38"/>
        <v>2148364.7199999997</v>
      </c>
      <c r="C23" s="198">
        <f t="shared" si="38"/>
        <v>0</v>
      </c>
      <c r="D23" s="198">
        <f t="shared" si="38"/>
        <v>0</v>
      </c>
      <c r="E23" s="198">
        <f t="shared" si="42"/>
        <v>2148364.7199999997</v>
      </c>
      <c r="F23" s="198">
        <f t="shared" si="43"/>
        <v>0</v>
      </c>
      <c r="G23" s="198">
        <f t="shared" si="44"/>
        <v>2148364.7199999997</v>
      </c>
      <c r="H23" s="199">
        <v>2148364.7199999997</v>
      </c>
      <c r="I23" s="199"/>
      <c r="J23" s="199"/>
      <c r="K23" s="198">
        <f t="shared" si="6"/>
        <v>2148364.7199999997</v>
      </c>
      <c r="L23" s="199"/>
      <c r="M23" s="198">
        <f t="shared" si="46"/>
        <v>2148364.7199999997</v>
      </c>
      <c r="N23" s="199"/>
      <c r="O23" s="199"/>
      <c r="P23" s="199"/>
      <c r="Q23" s="198">
        <f t="shared" si="47"/>
        <v>0</v>
      </c>
      <c r="R23" s="199"/>
      <c r="S23" s="198">
        <f t="shared" si="48"/>
        <v>0</v>
      </c>
      <c r="T23" s="199"/>
      <c r="U23" s="199"/>
      <c r="V23" s="199"/>
      <c r="W23" s="198">
        <f t="shared" si="49"/>
        <v>0</v>
      </c>
      <c r="X23" s="199"/>
      <c r="Y23" s="198">
        <f t="shared" si="50"/>
        <v>0</v>
      </c>
      <c r="Z23" s="199"/>
      <c r="AA23" s="199"/>
      <c r="AB23" s="199"/>
      <c r="AC23" s="198">
        <f t="shared" si="51"/>
        <v>0</v>
      </c>
      <c r="AD23" s="199"/>
      <c r="AE23" s="198">
        <f t="shared" si="52"/>
        <v>0</v>
      </c>
      <c r="AF23" s="199"/>
      <c r="AG23" s="199"/>
      <c r="AH23" s="199"/>
      <c r="AI23" s="198">
        <f t="shared" si="53"/>
        <v>0</v>
      </c>
      <c r="AJ23" s="199"/>
      <c r="AK23" s="198">
        <f t="shared" si="54"/>
        <v>0</v>
      </c>
      <c r="AL23" s="199"/>
      <c r="AM23" s="199"/>
      <c r="AN23" s="199"/>
      <c r="AO23" s="198">
        <f t="shared" si="55"/>
        <v>0</v>
      </c>
      <c r="AP23" s="199"/>
      <c r="AQ23" s="198">
        <f t="shared" si="56"/>
        <v>0</v>
      </c>
      <c r="AR23" s="199"/>
      <c r="AS23" s="199"/>
      <c r="AT23" s="199"/>
      <c r="AU23" s="198">
        <f t="shared" si="57"/>
        <v>0</v>
      </c>
      <c r="AV23" s="199"/>
      <c r="AW23" s="198">
        <f t="shared" si="58"/>
        <v>0</v>
      </c>
      <c r="AX23" s="198">
        <f t="shared" si="59"/>
        <v>2148364.7199999997</v>
      </c>
      <c r="AY23" s="198">
        <f t="shared" si="60"/>
        <v>0</v>
      </c>
      <c r="AZ23" s="198">
        <f t="shared" si="61"/>
        <v>0</v>
      </c>
      <c r="BA23" s="198">
        <f t="shared" si="62"/>
        <v>2148364.7199999997</v>
      </c>
      <c r="BB23" s="198">
        <f t="shared" si="63"/>
        <v>0</v>
      </c>
      <c r="BC23" s="198">
        <f t="shared" si="64"/>
        <v>2148364.7199999997</v>
      </c>
      <c r="BD23" s="199"/>
      <c r="BE23" s="199"/>
      <c r="BF23" s="199"/>
      <c r="BG23" s="198">
        <f t="shared" si="65"/>
        <v>0</v>
      </c>
      <c r="BH23" s="199"/>
      <c r="BI23" s="198">
        <f t="shared" si="66"/>
        <v>0</v>
      </c>
      <c r="BJ23" s="90">
        <f t="shared" si="4"/>
        <v>0</v>
      </c>
      <c r="BK23" s="90">
        <f t="shared" si="5"/>
        <v>0</v>
      </c>
    </row>
    <row r="24" spans="1:63">
      <c r="A24" s="370" t="s">
        <v>558</v>
      </c>
      <c r="B24" s="197">
        <f t="shared" ref="B24:G24" si="67">SUM(B25:B31)</f>
        <v>459558912.48000002</v>
      </c>
      <c r="C24" s="197">
        <f t="shared" si="67"/>
        <v>230681.82</v>
      </c>
      <c r="D24" s="197">
        <f t="shared" si="67"/>
        <v>227027566.73000002</v>
      </c>
      <c r="E24" s="197">
        <f t="shared" si="67"/>
        <v>686586479.21000004</v>
      </c>
      <c r="F24" s="197">
        <f t="shared" si="67"/>
        <v>0</v>
      </c>
      <c r="G24" s="197">
        <f t="shared" si="67"/>
        <v>686586479.21000004</v>
      </c>
      <c r="H24" s="197">
        <f t="shared" ref="H24:AW24" si="68">SUM(H25:H31)</f>
        <v>459558912.48000002</v>
      </c>
      <c r="I24" s="197">
        <f t="shared" si="68"/>
        <v>230681.82</v>
      </c>
      <c r="J24" s="197">
        <f t="shared" si="68"/>
        <v>227027566.73000002</v>
      </c>
      <c r="K24" s="197">
        <f t="shared" si="68"/>
        <v>686586479.21000004</v>
      </c>
      <c r="L24" s="197">
        <f t="shared" si="68"/>
        <v>0</v>
      </c>
      <c r="M24" s="197">
        <f t="shared" si="68"/>
        <v>686586479.21000004</v>
      </c>
      <c r="N24" s="197">
        <f t="shared" si="68"/>
        <v>0</v>
      </c>
      <c r="O24" s="197">
        <f t="shared" si="68"/>
        <v>0</v>
      </c>
      <c r="P24" s="197">
        <f t="shared" si="68"/>
        <v>0</v>
      </c>
      <c r="Q24" s="197">
        <f t="shared" si="68"/>
        <v>0</v>
      </c>
      <c r="R24" s="197">
        <f t="shared" si="68"/>
        <v>0</v>
      </c>
      <c r="S24" s="197">
        <f t="shared" si="68"/>
        <v>0</v>
      </c>
      <c r="T24" s="197">
        <f t="shared" si="68"/>
        <v>0</v>
      </c>
      <c r="U24" s="197">
        <f t="shared" si="68"/>
        <v>0</v>
      </c>
      <c r="V24" s="197">
        <f t="shared" si="68"/>
        <v>0</v>
      </c>
      <c r="W24" s="197">
        <f t="shared" si="68"/>
        <v>0</v>
      </c>
      <c r="X24" s="197">
        <f t="shared" si="68"/>
        <v>0</v>
      </c>
      <c r="Y24" s="197">
        <f t="shared" si="68"/>
        <v>0</v>
      </c>
      <c r="Z24" s="197">
        <f t="shared" si="68"/>
        <v>0</v>
      </c>
      <c r="AA24" s="197">
        <f t="shared" si="68"/>
        <v>0</v>
      </c>
      <c r="AB24" s="197">
        <f t="shared" si="68"/>
        <v>0</v>
      </c>
      <c r="AC24" s="197">
        <f t="shared" si="68"/>
        <v>0</v>
      </c>
      <c r="AD24" s="197">
        <f t="shared" si="68"/>
        <v>0</v>
      </c>
      <c r="AE24" s="197">
        <f t="shared" si="68"/>
        <v>0</v>
      </c>
      <c r="AF24" s="197">
        <f t="shared" si="68"/>
        <v>0</v>
      </c>
      <c r="AG24" s="197">
        <f t="shared" si="68"/>
        <v>0</v>
      </c>
      <c r="AH24" s="197">
        <f t="shared" si="68"/>
        <v>0</v>
      </c>
      <c r="AI24" s="197">
        <f t="shared" si="68"/>
        <v>0</v>
      </c>
      <c r="AJ24" s="197">
        <f t="shared" si="68"/>
        <v>0</v>
      </c>
      <c r="AK24" s="197">
        <f t="shared" si="68"/>
        <v>0</v>
      </c>
      <c r="AL24" s="197">
        <f t="shared" si="68"/>
        <v>0</v>
      </c>
      <c r="AM24" s="197">
        <f t="shared" si="68"/>
        <v>0</v>
      </c>
      <c r="AN24" s="197">
        <f t="shared" si="68"/>
        <v>0</v>
      </c>
      <c r="AO24" s="197">
        <f t="shared" si="68"/>
        <v>0</v>
      </c>
      <c r="AP24" s="197">
        <f t="shared" si="68"/>
        <v>0</v>
      </c>
      <c r="AQ24" s="197">
        <f t="shared" si="68"/>
        <v>0</v>
      </c>
      <c r="AR24" s="197">
        <f t="shared" si="68"/>
        <v>0</v>
      </c>
      <c r="AS24" s="197">
        <f t="shared" si="68"/>
        <v>0</v>
      </c>
      <c r="AT24" s="197">
        <f t="shared" si="68"/>
        <v>0</v>
      </c>
      <c r="AU24" s="197">
        <f t="shared" si="68"/>
        <v>0</v>
      </c>
      <c r="AV24" s="197">
        <f t="shared" si="68"/>
        <v>0</v>
      </c>
      <c r="AW24" s="197">
        <f t="shared" si="68"/>
        <v>0</v>
      </c>
      <c r="AX24" s="197">
        <f t="shared" ref="AX24:BI24" si="69">SUM(AX25:AX31)</f>
        <v>459558912.48000002</v>
      </c>
      <c r="AY24" s="197">
        <f t="shared" si="69"/>
        <v>230681.82</v>
      </c>
      <c r="AZ24" s="197">
        <f t="shared" si="69"/>
        <v>227027566.73000002</v>
      </c>
      <c r="BA24" s="197">
        <f t="shared" si="69"/>
        <v>686586479.21000004</v>
      </c>
      <c r="BB24" s="197">
        <f t="shared" si="69"/>
        <v>0</v>
      </c>
      <c r="BC24" s="197">
        <f t="shared" si="69"/>
        <v>686586479.21000004</v>
      </c>
      <c r="BD24" s="197">
        <f t="shared" si="69"/>
        <v>0</v>
      </c>
      <c r="BE24" s="197">
        <f t="shared" si="69"/>
        <v>0</v>
      </c>
      <c r="BF24" s="197">
        <f t="shared" si="69"/>
        <v>0</v>
      </c>
      <c r="BG24" s="197">
        <f t="shared" si="69"/>
        <v>0</v>
      </c>
      <c r="BH24" s="197">
        <f t="shared" si="69"/>
        <v>0</v>
      </c>
      <c r="BI24" s="197">
        <f t="shared" si="69"/>
        <v>0</v>
      </c>
      <c r="BJ24" s="90">
        <f t="shared" si="4"/>
        <v>0</v>
      </c>
      <c r="BK24" s="90">
        <f t="shared" si="5"/>
        <v>0</v>
      </c>
    </row>
    <row r="25" spans="1:63" outlineLevel="1">
      <c r="A25" s="371" t="s">
        <v>559</v>
      </c>
      <c r="B25" s="198">
        <f t="shared" ref="B25:D31" si="70">AX25+BD25</f>
        <v>310655360.59000003</v>
      </c>
      <c r="C25" s="198">
        <f t="shared" si="70"/>
        <v>0</v>
      </c>
      <c r="D25" s="198">
        <f t="shared" si="70"/>
        <v>76240727.879999995</v>
      </c>
      <c r="E25" s="198">
        <f>B25+D25</f>
        <v>386896088.47000003</v>
      </c>
      <c r="F25" s="198">
        <f>BB25+BH25</f>
        <v>0</v>
      </c>
      <c r="G25" s="198">
        <f>E25-F25</f>
        <v>386896088.47000003</v>
      </c>
      <c r="H25" s="199">
        <v>310655360.59000003</v>
      </c>
      <c r="I25" s="199"/>
      <c r="J25" s="199">
        <v>76240727.879999995</v>
      </c>
      <c r="K25" s="198">
        <f t="shared" si="6"/>
        <v>386896088.47000003</v>
      </c>
      <c r="L25" s="199"/>
      <c r="M25" s="198">
        <f>K25-L25</f>
        <v>386896088.47000003</v>
      </c>
      <c r="N25" s="199"/>
      <c r="O25" s="199"/>
      <c r="P25" s="199"/>
      <c r="Q25" s="198">
        <f>N25+P25</f>
        <v>0</v>
      </c>
      <c r="R25" s="199"/>
      <c r="S25" s="198">
        <f>Q25-R25</f>
        <v>0</v>
      </c>
      <c r="T25" s="199"/>
      <c r="U25" s="199"/>
      <c r="V25" s="199"/>
      <c r="W25" s="198">
        <f>T25+V25</f>
        <v>0</v>
      </c>
      <c r="X25" s="199"/>
      <c r="Y25" s="198">
        <f>W25-X25</f>
        <v>0</v>
      </c>
      <c r="Z25" s="199"/>
      <c r="AA25" s="199"/>
      <c r="AB25" s="199"/>
      <c r="AC25" s="198">
        <f>Z25+AB25</f>
        <v>0</v>
      </c>
      <c r="AD25" s="199"/>
      <c r="AE25" s="198">
        <f>AC25-AD25</f>
        <v>0</v>
      </c>
      <c r="AF25" s="199"/>
      <c r="AG25" s="199"/>
      <c r="AH25" s="199"/>
      <c r="AI25" s="198">
        <f>AF25+AH25</f>
        <v>0</v>
      </c>
      <c r="AJ25" s="199"/>
      <c r="AK25" s="198">
        <f>AI25-AJ25</f>
        <v>0</v>
      </c>
      <c r="AL25" s="199"/>
      <c r="AM25" s="199"/>
      <c r="AN25" s="199"/>
      <c r="AO25" s="198">
        <f>AL25+AN25</f>
        <v>0</v>
      </c>
      <c r="AP25" s="199"/>
      <c r="AQ25" s="198">
        <f>AO25-AP25</f>
        <v>0</v>
      </c>
      <c r="AR25" s="199"/>
      <c r="AS25" s="199"/>
      <c r="AT25" s="199"/>
      <c r="AU25" s="198">
        <f>AR25+AT25</f>
        <v>0</v>
      </c>
      <c r="AV25" s="199"/>
      <c r="AW25" s="198">
        <f>AU25-AV25</f>
        <v>0</v>
      </c>
      <c r="AX25" s="198">
        <f>SUMIF($H$6:$AW$6,"年初累计发生额",H25:AW25)</f>
        <v>310655360.59000003</v>
      </c>
      <c r="AY25" s="198">
        <f>SUMIF($H$6:$AW$6,"本月发生额",H25:AW25)</f>
        <v>0</v>
      </c>
      <c r="AZ25" s="198">
        <f>SUMIF($H$6:$AW$6,"本年发生额",H25:AW25)</f>
        <v>76240727.879999995</v>
      </c>
      <c r="BA25" s="198">
        <f>SUMIF($H$6:$AW$6,"自开工累计发生额",H25:AW25)</f>
        <v>386896088.47000003</v>
      </c>
      <c r="BB25" s="198">
        <f>SUMIF($H$6:$AW$6,"结转开发成本累计金额",H25:AW25)</f>
        <v>0</v>
      </c>
      <c r="BC25" s="198">
        <f>SUMIF($H$6:$AW$6,"开发成本期末余额",H25:AW25)</f>
        <v>386896088.47000003</v>
      </c>
      <c r="BD25" s="199"/>
      <c r="BE25" s="199"/>
      <c r="BF25" s="199"/>
      <c r="BG25" s="198">
        <f>BD25+BF25</f>
        <v>0</v>
      </c>
      <c r="BH25" s="199"/>
      <c r="BI25" s="198">
        <f>BG25-BH25</f>
        <v>0</v>
      </c>
      <c r="BJ25" s="90">
        <f t="shared" si="4"/>
        <v>0</v>
      </c>
      <c r="BK25" s="90">
        <f t="shared" si="5"/>
        <v>0</v>
      </c>
    </row>
    <row r="26" spans="1:63" outlineLevel="1">
      <c r="A26" s="371" t="s">
        <v>560</v>
      </c>
      <c r="B26" s="198">
        <f t="shared" si="70"/>
        <v>23889717.91</v>
      </c>
      <c r="C26" s="198">
        <f t="shared" si="70"/>
        <v>0</v>
      </c>
      <c r="D26" s="198">
        <f t="shared" si="70"/>
        <v>146326109.83000001</v>
      </c>
      <c r="E26" s="198">
        <f>B26+D26</f>
        <v>170215827.74000001</v>
      </c>
      <c r="F26" s="198">
        <f>BB26+BH26</f>
        <v>0</v>
      </c>
      <c r="G26" s="198">
        <f>E26-F26</f>
        <v>170215827.74000001</v>
      </c>
      <c r="H26" s="199">
        <v>23889717.91</v>
      </c>
      <c r="I26" s="199"/>
      <c r="J26" s="199">
        <v>146326109.83000001</v>
      </c>
      <c r="K26" s="198">
        <f t="shared" si="6"/>
        <v>170215827.74000001</v>
      </c>
      <c r="L26" s="199"/>
      <c r="M26" s="198">
        <f t="shared" ref="M26:M52" si="71">K26-L26</f>
        <v>170215827.74000001</v>
      </c>
      <c r="N26" s="199"/>
      <c r="O26" s="199"/>
      <c r="P26" s="199"/>
      <c r="Q26" s="198">
        <f>N26+P26</f>
        <v>0</v>
      </c>
      <c r="R26" s="199"/>
      <c r="S26" s="198">
        <f>Q26-R26</f>
        <v>0</v>
      </c>
      <c r="T26" s="199"/>
      <c r="U26" s="199"/>
      <c r="V26" s="199"/>
      <c r="W26" s="198">
        <f>T26+V26</f>
        <v>0</v>
      </c>
      <c r="X26" s="199"/>
      <c r="Y26" s="198">
        <f>W26-X26</f>
        <v>0</v>
      </c>
      <c r="Z26" s="199"/>
      <c r="AA26" s="199"/>
      <c r="AB26" s="199"/>
      <c r="AC26" s="198">
        <f>Z26+AB26</f>
        <v>0</v>
      </c>
      <c r="AD26" s="199"/>
      <c r="AE26" s="198">
        <f>AC26-AD26</f>
        <v>0</v>
      </c>
      <c r="AF26" s="199"/>
      <c r="AG26" s="199"/>
      <c r="AH26" s="199"/>
      <c r="AI26" s="198">
        <f>AF26+AH26</f>
        <v>0</v>
      </c>
      <c r="AJ26" s="199"/>
      <c r="AK26" s="198">
        <f>AI26-AJ26</f>
        <v>0</v>
      </c>
      <c r="AL26" s="199"/>
      <c r="AM26" s="199"/>
      <c r="AN26" s="199"/>
      <c r="AO26" s="198">
        <f>AL26+AN26</f>
        <v>0</v>
      </c>
      <c r="AP26" s="199"/>
      <c r="AQ26" s="198">
        <f>AO26-AP26</f>
        <v>0</v>
      </c>
      <c r="AR26" s="199"/>
      <c r="AS26" s="199"/>
      <c r="AT26" s="199"/>
      <c r="AU26" s="198">
        <f>AR26+AT26</f>
        <v>0</v>
      </c>
      <c r="AV26" s="199"/>
      <c r="AW26" s="198">
        <f>AU26-AV26</f>
        <v>0</v>
      </c>
      <c r="AX26" s="198">
        <f>SUMIF($H$6:$AW$6,"年初累计发生额",H26:AW26)</f>
        <v>23889717.91</v>
      </c>
      <c r="AY26" s="198">
        <f>SUMIF($H$6:$AW$6,"本月发生额",H26:AW26)</f>
        <v>0</v>
      </c>
      <c r="AZ26" s="198">
        <f>SUMIF($H$6:$AW$6,"本年发生额",H26:AW26)</f>
        <v>146326109.83000001</v>
      </c>
      <c r="BA26" s="198">
        <f>SUMIF($H$6:$AW$6,"自开工累计发生额",H26:AW26)</f>
        <v>170215827.74000001</v>
      </c>
      <c r="BB26" s="198">
        <f>SUMIF($H$6:$AW$6,"结转开发成本累计金额",H26:AW26)</f>
        <v>0</v>
      </c>
      <c r="BC26" s="198">
        <f>SUMIF($H$6:$AW$6,"开发成本期末余额",H26:AW26)</f>
        <v>170215827.74000001</v>
      </c>
      <c r="BD26" s="199"/>
      <c r="BE26" s="199"/>
      <c r="BF26" s="199"/>
      <c r="BG26" s="198">
        <f>BD26+BF26</f>
        <v>0</v>
      </c>
      <c r="BH26" s="199"/>
      <c r="BI26" s="198">
        <f>BG26-BH26</f>
        <v>0</v>
      </c>
      <c r="BJ26" s="90">
        <f t="shared" si="4"/>
        <v>0</v>
      </c>
      <c r="BK26" s="90">
        <f t="shared" si="5"/>
        <v>0</v>
      </c>
    </row>
    <row r="27" spans="1:63" outlineLevel="1">
      <c r="A27" s="371" t="s">
        <v>561</v>
      </c>
      <c r="B27" s="198">
        <f t="shared" si="70"/>
        <v>0</v>
      </c>
      <c r="C27" s="198">
        <f t="shared" si="70"/>
        <v>0</v>
      </c>
      <c r="D27" s="198">
        <f t="shared" si="70"/>
        <v>0</v>
      </c>
      <c r="E27" s="198">
        <f>B27+D27</f>
        <v>0</v>
      </c>
      <c r="F27" s="198">
        <f>BB27+BH27</f>
        <v>0</v>
      </c>
      <c r="G27" s="198">
        <f>E27-F27</f>
        <v>0</v>
      </c>
      <c r="H27" s="199">
        <v>0</v>
      </c>
      <c r="I27" s="199"/>
      <c r="J27" s="199"/>
      <c r="K27" s="198">
        <f t="shared" si="6"/>
        <v>0</v>
      </c>
      <c r="L27" s="199"/>
      <c r="M27" s="198">
        <f t="shared" si="71"/>
        <v>0</v>
      </c>
      <c r="N27" s="199"/>
      <c r="O27" s="199"/>
      <c r="P27" s="199"/>
      <c r="Q27" s="198">
        <f>N27+P27</f>
        <v>0</v>
      </c>
      <c r="R27" s="199"/>
      <c r="S27" s="198">
        <f>Q27-R27</f>
        <v>0</v>
      </c>
      <c r="T27" s="199"/>
      <c r="U27" s="199"/>
      <c r="V27" s="199"/>
      <c r="W27" s="198">
        <f>T27+V27</f>
        <v>0</v>
      </c>
      <c r="X27" s="199"/>
      <c r="Y27" s="198">
        <f>W27-X27</f>
        <v>0</v>
      </c>
      <c r="Z27" s="199"/>
      <c r="AA27" s="199"/>
      <c r="AB27" s="199"/>
      <c r="AC27" s="198">
        <f>Z27+AB27</f>
        <v>0</v>
      </c>
      <c r="AD27" s="199"/>
      <c r="AE27" s="198">
        <f>AC27-AD27</f>
        <v>0</v>
      </c>
      <c r="AF27" s="199"/>
      <c r="AG27" s="199"/>
      <c r="AH27" s="199"/>
      <c r="AI27" s="198">
        <f>AF27+AH27</f>
        <v>0</v>
      </c>
      <c r="AJ27" s="199"/>
      <c r="AK27" s="198">
        <f>AI27-AJ27</f>
        <v>0</v>
      </c>
      <c r="AL27" s="199"/>
      <c r="AM27" s="199"/>
      <c r="AN27" s="199"/>
      <c r="AO27" s="198">
        <f>AL27+AN27</f>
        <v>0</v>
      </c>
      <c r="AP27" s="199"/>
      <c r="AQ27" s="198">
        <f>AO27-AP27</f>
        <v>0</v>
      </c>
      <c r="AR27" s="199"/>
      <c r="AS27" s="199"/>
      <c r="AT27" s="199"/>
      <c r="AU27" s="198">
        <f>AR27+AT27</f>
        <v>0</v>
      </c>
      <c r="AV27" s="199"/>
      <c r="AW27" s="198">
        <f>AU27-AV27</f>
        <v>0</v>
      </c>
      <c r="AX27" s="198">
        <f>SUMIF($H$6:$AW$6,"年初累计发生额",H27:AW27)</f>
        <v>0</v>
      </c>
      <c r="AY27" s="198">
        <f>SUMIF($H$6:$AW$6,"本月发生额",H27:AW27)</f>
        <v>0</v>
      </c>
      <c r="AZ27" s="198">
        <f>SUMIF($H$6:$AW$6,"本年发生额",H27:AW27)</f>
        <v>0</v>
      </c>
      <c r="BA27" s="198">
        <f>SUMIF($H$6:$AW$6,"自开工累计发生额",H27:AW27)</f>
        <v>0</v>
      </c>
      <c r="BB27" s="198">
        <f>SUMIF($H$6:$AW$6,"结转开发成本累计金额",H27:AW27)</f>
        <v>0</v>
      </c>
      <c r="BC27" s="198">
        <f>SUMIF($H$6:$AW$6,"开发成本期末余额",H27:AW27)</f>
        <v>0</v>
      </c>
      <c r="BD27" s="199"/>
      <c r="BE27" s="199"/>
      <c r="BF27" s="199"/>
      <c r="BG27" s="198">
        <f>BD27+BF27</f>
        <v>0</v>
      </c>
      <c r="BH27" s="199"/>
      <c r="BI27" s="198">
        <f>BG27-BH27</f>
        <v>0</v>
      </c>
      <c r="BJ27" s="90">
        <f t="shared" si="4"/>
        <v>0</v>
      </c>
      <c r="BK27" s="90">
        <f t="shared" si="5"/>
        <v>0</v>
      </c>
    </row>
    <row r="28" spans="1:63" outlineLevel="1">
      <c r="A28" s="371" t="s">
        <v>562</v>
      </c>
      <c r="B28" s="198">
        <f t="shared" si="70"/>
        <v>0</v>
      </c>
      <c r="C28" s="198">
        <f t="shared" si="70"/>
        <v>0</v>
      </c>
      <c r="D28" s="198">
        <f t="shared" si="70"/>
        <v>3243662.74</v>
      </c>
      <c r="E28" s="198">
        <f>B28+D28</f>
        <v>3243662.74</v>
      </c>
      <c r="F28" s="198">
        <f>BB28+BH28</f>
        <v>0</v>
      </c>
      <c r="G28" s="198">
        <f>E28-F28</f>
        <v>3243662.74</v>
      </c>
      <c r="H28" s="199">
        <v>0</v>
      </c>
      <c r="I28" s="199"/>
      <c r="J28" s="199">
        <v>3243662.74</v>
      </c>
      <c r="K28" s="198">
        <f t="shared" si="6"/>
        <v>3243662.74</v>
      </c>
      <c r="L28" s="199"/>
      <c r="M28" s="198">
        <f t="shared" si="71"/>
        <v>3243662.74</v>
      </c>
      <c r="N28" s="199"/>
      <c r="O28" s="199"/>
      <c r="P28" s="199"/>
      <c r="Q28" s="198">
        <f>N28+P28</f>
        <v>0</v>
      </c>
      <c r="R28" s="199"/>
      <c r="S28" s="198">
        <f>Q28-R28</f>
        <v>0</v>
      </c>
      <c r="T28" s="199"/>
      <c r="U28" s="199"/>
      <c r="V28" s="199"/>
      <c r="W28" s="198">
        <f>T28+V28</f>
        <v>0</v>
      </c>
      <c r="X28" s="199"/>
      <c r="Y28" s="198">
        <f>W28-X28</f>
        <v>0</v>
      </c>
      <c r="Z28" s="199"/>
      <c r="AA28" s="199"/>
      <c r="AB28" s="199"/>
      <c r="AC28" s="198">
        <f>Z28+AB28</f>
        <v>0</v>
      </c>
      <c r="AD28" s="199"/>
      <c r="AE28" s="198">
        <f>AC28-AD28</f>
        <v>0</v>
      </c>
      <c r="AF28" s="199"/>
      <c r="AG28" s="199"/>
      <c r="AH28" s="199"/>
      <c r="AI28" s="198">
        <f>AF28+AH28</f>
        <v>0</v>
      </c>
      <c r="AJ28" s="199"/>
      <c r="AK28" s="198">
        <f>AI28-AJ28</f>
        <v>0</v>
      </c>
      <c r="AL28" s="199"/>
      <c r="AM28" s="199"/>
      <c r="AN28" s="199"/>
      <c r="AO28" s="198">
        <f>AL28+AN28</f>
        <v>0</v>
      </c>
      <c r="AP28" s="199"/>
      <c r="AQ28" s="198">
        <f>AO28-AP28</f>
        <v>0</v>
      </c>
      <c r="AR28" s="199"/>
      <c r="AS28" s="199"/>
      <c r="AT28" s="199"/>
      <c r="AU28" s="198">
        <f>AR28+AT28</f>
        <v>0</v>
      </c>
      <c r="AV28" s="199"/>
      <c r="AW28" s="198">
        <f>AU28-AV28</f>
        <v>0</v>
      </c>
      <c r="AX28" s="198">
        <f>SUMIF($H$6:$AW$6,"年初累计发生额",H28:AW28)</f>
        <v>0</v>
      </c>
      <c r="AY28" s="198">
        <f>SUMIF($H$6:$AW$6,"本月发生额",H28:AW28)</f>
        <v>0</v>
      </c>
      <c r="AZ28" s="198">
        <f>SUMIF($H$6:$AW$6,"本年发生额",H28:AW28)</f>
        <v>3243662.74</v>
      </c>
      <c r="BA28" s="198">
        <f>SUMIF($H$6:$AW$6,"自开工累计发生额",H28:AW28)</f>
        <v>3243662.74</v>
      </c>
      <c r="BB28" s="198">
        <f>SUMIF($H$6:$AW$6,"结转开发成本累计金额",H28:AW28)</f>
        <v>0</v>
      </c>
      <c r="BC28" s="198">
        <f>SUMIF($H$6:$AW$6,"开发成本期末余额",H28:AW28)</f>
        <v>3243662.74</v>
      </c>
      <c r="BD28" s="199"/>
      <c r="BE28" s="199"/>
      <c r="BF28" s="199"/>
      <c r="BG28" s="198">
        <f>BD28+BF28</f>
        <v>0</v>
      </c>
      <c r="BH28" s="199"/>
      <c r="BI28" s="198">
        <f>BG28-BH28</f>
        <v>0</v>
      </c>
      <c r="BJ28" s="90">
        <f t="shared" si="4"/>
        <v>0</v>
      </c>
      <c r="BK28" s="90">
        <f t="shared" si="5"/>
        <v>0</v>
      </c>
    </row>
    <row r="29" spans="1:63" outlineLevel="1">
      <c r="A29" s="371" t="s">
        <v>563</v>
      </c>
      <c r="B29" s="198">
        <f t="shared" ref="B29:B30" si="72">AX29+BD29</f>
        <v>118522491.59</v>
      </c>
      <c r="C29" s="198">
        <f t="shared" ref="C29:C30" si="73">AY29+BE29</f>
        <v>0</v>
      </c>
      <c r="D29" s="198">
        <f t="shared" ref="D29:D30" si="74">AZ29+BF29</f>
        <v>0</v>
      </c>
      <c r="E29" s="198">
        <f t="shared" ref="E29:E31" si="75">B29+D29</f>
        <v>118522491.59</v>
      </c>
      <c r="F29" s="198">
        <f t="shared" ref="F29:F31" si="76">BB29+BH29</f>
        <v>0</v>
      </c>
      <c r="G29" s="198">
        <f t="shared" ref="G29:G31" si="77">E29-F29</f>
        <v>118522491.59</v>
      </c>
      <c r="H29" s="199">
        <v>118522491.59</v>
      </c>
      <c r="I29" s="199"/>
      <c r="J29" s="199"/>
      <c r="K29" s="198">
        <f t="shared" ref="K29:K30" si="78">H29+J29</f>
        <v>118522491.59</v>
      </c>
      <c r="L29" s="199"/>
      <c r="M29" s="198">
        <f t="shared" ref="M29:M30" si="79">K29-L29</f>
        <v>118522491.59</v>
      </c>
      <c r="N29" s="199"/>
      <c r="O29" s="199"/>
      <c r="P29" s="199"/>
      <c r="Q29" s="198">
        <f t="shared" ref="Q29:Q31" si="80">N29+P29</f>
        <v>0</v>
      </c>
      <c r="R29" s="199"/>
      <c r="S29" s="198">
        <f t="shared" ref="S29:S31" si="81">Q29-R29</f>
        <v>0</v>
      </c>
      <c r="T29" s="199"/>
      <c r="U29" s="199"/>
      <c r="V29" s="199"/>
      <c r="W29" s="198">
        <f t="shared" ref="W29:W31" si="82">T29+V29</f>
        <v>0</v>
      </c>
      <c r="X29" s="199"/>
      <c r="Y29" s="198">
        <f t="shared" ref="Y29:Y31" si="83">W29-X29</f>
        <v>0</v>
      </c>
      <c r="Z29" s="199"/>
      <c r="AA29" s="199"/>
      <c r="AB29" s="199"/>
      <c r="AC29" s="198">
        <f t="shared" ref="AC29:AC31" si="84">Z29+AB29</f>
        <v>0</v>
      </c>
      <c r="AD29" s="199"/>
      <c r="AE29" s="198">
        <f t="shared" ref="AE29:AE31" si="85">AC29-AD29</f>
        <v>0</v>
      </c>
      <c r="AF29" s="199"/>
      <c r="AG29" s="199"/>
      <c r="AH29" s="199"/>
      <c r="AI29" s="198">
        <f t="shared" ref="AI29:AI31" si="86">AF29+AH29</f>
        <v>0</v>
      </c>
      <c r="AJ29" s="199"/>
      <c r="AK29" s="198">
        <f t="shared" ref="AK29:AK31" si="87">AI29-AJ29</f>
        <v>0</v>
      </c>
      <c r="AL29" s="199"/>
      <c r="AM29" s="199"/>
      <c r="AN29" s="199"/>
      <c r="AO29" s="198">
        <f t="shared" ref="AO29:AO31" si="88">AL29+AN29</f>
        <v>0</v>
      </c>
      <c r="AP29" s="199"/>
      <c r="AQ29" s="198">
        <f t="shared" ref="AQ29:AQ31" si="89">AO29-AP29</f>
        <v>0</v>
      </c>
      <c r="AR29" s="199"/>
      <c r="AS29" s="199"/>
      <c r="AT29" s="199"/>
      <c r="AU29" s="198">
        <f t="shared" ref="AU29:AU31" si="90">AR29+AT29</f>
        <v>0</v>
      </c>
      <c r="AV29" s="199"/>
      <c r="AW29" s="198">
        <f t="shared" ref="AW29:AW31" si="91">AU29-AV29</f>
        <v>0</v>
      </c>
      <c r="AX29" s="198">
        <f t="shared" ref="AX29:AX31" si="92">SUMIF($H$6:$AW$6,"年初累计发生额",H29:AW29)</f>
        <v>118522491.59</v>
      </c>
      <c r="AY29" s="198">
        <f t="shared" ref="AY29:AY31" si="93">SUMIF($H$6:$AW$6,"本月发生额",H29:AW29)</f>
        <v>0</v>
      </c>
      <c r="AZ29" s="198">
        <f t="shared" ref="AZ29:AZ31" si="94">SUMIF($H$6:$AW$6,"本年发生额",H29:AW29)</f>
        <v>0</v>
      </c>
      <c r="BA29" s="198">
        <f t="shared" ref="BA29:BA31" si="95">SUMIF($H$6:$AW$6,"自开工累计发生额",H29:AW29)</f>
        <v>118522491.59</v>
      </c>
      <c r="BB29" s="198">
        <f t="shared" ref="BB29:BB31" si="96">SUMIF($H$6:$AW$6,"结转开发成本累计金额",H29:AW29)</f>
        <v>0</v>
      </c>
      <c r="BC29" s="198">
        <f t="shared" ref="BC29:BC31" si="97">SUMIF($H$6:$AW$6,"开发成本期末余额",H29:AW29)</f>
        <v>118522491.59</v>
      </c>
      <c r="BD29" s="199"/>
      <c r="BE29" s="199"/>
      <c r="BF29" s="199"/>
      <c r="BG29" s="198">
        <f t="shared" ref="BG29:BG31" si="98">BD29+BF29</f>
        <v>0</v>
      </c>
      <c r="BH29" s="199"/>
      <c r="BI29" s="198">
        <f t="shared" ref="BI29:BI31" si="99">BG29-BH29</f>
        <v>0</v>
      </c>
      <c r="BJ29" s="90"/>
      <c r="BK29" s="90"/>
    </row>
    <row r="30" spans="1:63" outlineLevel="1">
      <c r="A30" s="371" t="s">
        <v>564</v>
      </c>
      <c r="B30" s="198">
        <f t="shared" si="72"/>
        <v>0</v>
      </c>
      <c r="C30" s="198">
        <f t="shared" si="73"/>
        <v>0</v>
      </c>
      <c r="D30" s="198">
        <f t="shared" si="74"/>
        <v>0</v>
      </c>
      <c r="E30" s="198">
        <f t="shared" si="75"/>
        <v>0</v>
      </c>
      <c r="F30" s="198">
        <f t="shared" si="76"/>
        <v>0</v>
      </c>
      <c r="G30" s="198">
        <f t="shared" si="77"/>
        <v>0</v>
      </c>
      <c r="H30" s="199">
        <v>0</v>
      </c>
      <c r="I30" s="199"/>
      <c r="J30" s="199"/>
      <c r="K30" s="198">
        <f t="shared" si="78"/>
        <v>0</v>
      </c>
      <c r="L30" s="199"/>
      <c r="M30" s="198">
        <f t="shared" si="79"/>
        <v>0</v>
      </c>
      <c r="N30" s="199"/>
      <c r="O30" s="199"/>
      <c r="P30" s="199"/>
      <c r="Q30" s="198">
        <f t="shared" si="80"/>
        <v>0</v>
      </c>
      <c r="R30" s="199"/>
      <c r="S30" s="198">
        <f t="shared" si="81"/>
        <v>0</v>
      </c>
      <c r="T30" s="199"/>
      <c r="U30" s="199"/>
      <c r="V30" s="199"/>
      <c r="W30" s="198">
        <f t="shared" si="82"/>
        <v>0</v>
      </c>
      <c r="X30" s="199"/>
      <c r="Y30" s="198">
        <f t="shared" si="83"/>
        <v>0</v>
      </c>
      <c r="Z30" s="199"/>
      <c r="AA30" s="199"/>
      <c r="AB30" s="199"/>
      <c r="AC30" s="198">
        <f t="shared" si="84"/>
        <v>0</v>
      </c>
      <c r="AD30" s="199"/>
      <c r="AE30" s="198">
        <f t="shared" si="85"/>
        <v>0</v>
      </c>
      <c r="AF30" s="199"/>
      <c r="AG30" s="199"/>
      <c r="AH30" s="199"/>
      <c r="AI30" s="198">
        <f t="shared" si="86"/>
        <v>0</v>
      </c>
      <c r="AJ30" s="199"/>
      <c r="AK30" s="198">
        <f t="shared" si="87"/>
        <v>0</v>
      </c>
      <c r="AL30" s="199"/>
      <c r="AM30" s="199"/>
      <c r="AN30" s="199"/>
      <c r="AO30" s="198">
        <f t="shared" si="88"/>
        <v>0</v>
      </c>
      <c r="AP30" s="199"/>
      <c r="AQ30" s="198">
        <f t="shared" si="89"/>
        <v>0</v>
      </c>
      <c r="AR30" s="199"/>
      <c r="AS30" s="199"/>
      <c r="AT30" s="199"/>
      <c r="AU30" s="198">
        <f t="shared" si="90"/>
        <v>0</v>
      </c>
      <c r="AV30" s="199"/>
      <c r="AW30" s="198">
        <f t="shared" si="91"/>
        <v>0</v>
      </c>
      <c r="AX30" s="198">
        <f t="shared" si="92"/>
        <v>0</v>
      </c>
      <c r="AY30" s="198">
        <f t="shared" si="93"/>
        <v>0</v>
      </c>
      <c r="AZ30" s="198">
        <f t="shared" si="94"/>
        <v>0</v>
      </c>
      <c r="BA30" s="198">
        <f t="shared" si="95"/>
        <v>0</v>
      </c>
      <c r="BB30" s="198">
        <f t="shared" si="96"/>
        <v>0</v>
      </c>
      <c r="BC30" s="198">
        <f t="shared" si="97"/>
        <v>0</v>
      </c>
      <c r="BD30" s="199"/>
      <c r="BE30" s="199"/>
      <c r="BF30" s="199"/>
      <c r="BG30" s="198">
        <f t="shared" si="98"/>
        <v>0</v>
      </c>
      <c r="BH30" s="199"/>
      <c r="BI30" s="198">
        <f t="shared" si="99"/>
        <v>0</v>
      </c>
      <c r="BJ30" s="90"/>
      <c r="BK30" s="90"/>
    </row>
    <row r="31" spans="1:63" outlineLevel="1">
      <c r="A31" s="371" t="s">
        <v>565</v>
      </c>
      <c r="B31" s="198">
        <f t="shared" si="70"/>
        <v>6491342.3900000006</v>
      </c>
      <c r="C31" s="198">
        <f t="shared" si="70"/>
        <v>230681.82</v>
      </c>
      <c r="D31" s="198">
        <f t="shared" si="70"/>
        <v>1217066.28</v>
      </c>
      <c r="E31" s="198">
        <f t="shared" si="75"/>
        <v>7708408.6700000009</v>
      </c>
      <c r="F31" s="198">
        <f t="shared" si="76"/>
        <v>0</v>
      </c>
      <c r="G31" s="198">
        <f t="shared" si="77"/>
        <v>7708408.6700000009</v>
      </c>
      <c r="H31" s="199">
        <v>6491342.3900000006</v>
      </c>
      <c r="I31" s="199">
        <v>230681.82</v>
      </c>
      <c r="J31" s="199">
        <f>986384.46+I31</f>
        <v>1217066.28</v>
      </c>
      <c r="K31" s="198">
        <f t="shared" si="6"/>
        <v>7708408.6700000009</v>
      </c>
      <c r="L31" s="199"/>
      <c r="M31" s="198">
        <f t="shared" si="71"/>
        <v>7708408.6700000009</v>
      </c>
      <c r="N31" s="199"/>
      <c r="O31" s="199"/>
      <c r="P31" s="199"/>
      <c r="Q31" s="198">
        <f t="shared" si="80"/>
        <v>0</v>
      </c>
      <c r="R31" s="199"/>
      <c r="S31" s="198">
        <f t="shared" si="81"/>
        <v>0</v>
      </c>
      <c r="T31" s="199"/>
      <c r="U31" s="199"/>
      <c r="V31" s="199"/>
      <c r="W31" s="198">
        <f t="shared" si="82"/>
        <v>0</v>
      </c>
      <c r="X31" s="199"/>
      <c r="Y31" s="198">
        <f t="shared" si="83"/>
        <v>0</v>
      </c>
      <c r="Z31" s="199"/>
      <c r="AA31" s="199"/>
      <c r="AB31" s="199"/>
      <c r="AC31" s="198">
        <f t="shared" si="84"/>
        <v>0</v>
      </c>
      <c r="AD31" s="199"/>
      <c r="AE31" s="198">
        <f t="shared" si="85"/>
        <v>0</v>
      </c>
      <c r="AF31" s="199"/>
      <c r="AG31" s="199"/>
      <c r="AH31" s="199"/>
      <c r="AI31" s="198">
        <f t="shared" si="86"/>
        <v>0</v>
      </c>
      <c r="AJ31" s="199"/>
      <c r="AK31" s="198">
        <f t="shared" si="87"/>
        <v>0</v>
      </c>
      <c r="AL31" s="199"/>
      <c r="AM31" s="199"/>
      <c r="AN31" s="199"/>
      <c r="AO31" s="198">
        <f t="shared" si="88"/>
        <v>0</v>
      </c>
      <c r="AP31" s="199"/>
      <c r="AQ31" s="198">
        <f t="shared" si="89"/>
        <v>0</v>
      </c>
      <c r="AR31" s="199"/>
      <c r="AS31" s="199"/>
      <c r="AT31" s="199"/>
      <c r="AU31" s="198">
        <f t="shared" si="90"/>
        <v>0</v>
      </c>
      <c r="AV31" s="199"/>
      <c r="AW31" s="198">
        <f t="shared" si="91"/>
        <v>0</v>
      </c>
      <c r="AX31" s="198">
        <f t="shared" si="92"/>
        <v>6491342.3900000006</v>
      </c>
      <c r="AY31" s="198">
        <f t="shared" si="93"/>
        <v>230681.82</v>
      </c>
      <c r="AZ31" s="198">
        <f t="shared" si="94"/>
        <v>1217066.28</v>
      </c>
      <c r="BA31" s="198">
        <f t="shared" si="95"/>
        <v>7708408.6700000009</v>
      </c>
      <c r="BB31" s="198">
        <f t="shared" si="96"/>
        <v>0</v>
      </c>
      <c r="BC31" s="198">
        <f t="shared" si="97"/>
        <v>7708408.6700000009</v>
      </c>
      <c r="BD31" s="199"/>
      <c r="BE31" s="199"/>
      <c r="BF31" s="199"/>
      <c r="BG31" s="198">
        <f t="shared" si="98"/>
        <v>0</v>
      </c>
      <c r="BH31" s="199"/>
      <c r="BI31" s="198">
        <f t="shared" si="99"/>
        <v>0</v>
      </c>
      <c r="BJ31" s="90">
        <f t="shared" si="4"/>
        <v>0</v>
      </c>
      <c r="BK31" s="90">
        <f t="shared" si="5"/>
        <v>0</v>
      </c>
    </row>
    <row r="32" spans="1:63">
      <c r="A32" s="370" t="s">
        <v>566</v>
      </c>
      <c r="B32" s="197">
        <f t="shared" ref="B32:G32" si="100">SUM(B33:B36)</f>
        <v>58794453.060000002</v>
      </c>
      <c r="C32" s="197">
        <f t="shared" si="100"/>
        <v>0</v>
      </c>
      <c r="D32" s="197">
        <f t="shared" si="100"/>
        <v>11250390.26</v>
      </c>
      <c r="E32" s="197">
        <f t="shared" si="100"/>
        <v>70044843.320000008</v>
      </c>
      <c r="F32" s="197">
        <f t="shared" si="100"/>
        <v>0</v>
      </c>
      <c r="G32" s="197">
        <f t="shared" si="100"/>
        <v>70044843.320000008</v>
      </c>
      <c r="H32" s="197">
        <f t="shared" ref="H32:AW32" si="101">SUM(H33:H36)</f>
        <v>58794453.060000002</v>
      </c>
      <c r="I32" s="197">
        <f t="shared" si="101"/>
        <v>0</v>
      </c>
      <c r="J32" s="197">
        <f t="shared" si="101"/>
        <v>11250390.26</v>
      </c>
      <c r="K32" s="197">
        <f t="shared" si="101"/>
        <v>70044843.320000008</v>
      </c>
      <c r="L32" s="197">
        <f t="shared" si="101"/>
        <v>0</v>
      </c>
      <c r="M32" s="197">
        <f t="shared" si="101"/>
        <v>70044843.320000008</v>
      </c>
      <c r="N32" s="197">
        <f t="shared" si="101"/>
        <v>0</v>
      </c>
      <c r="O32" s="197">
        <f t="shared" si="101"/>
        <v>0</v>
      </c>
      <c r="P32" s="197">
        <f t="shared" si="101"/>
        <v>0</v>
      </c>
      <c r="Q32" s="197">
        <f t="shared" si="101"/>
        <v>0</v>
      </c>
      <c r="R32" s="197">
        <f t="shared" si="101"/>
        <v>0</v>
      </c>
      <c r="S32" s="197">
        <f t="shared" si="101"/>
        <v>0</v>
      </c>
      <c r="T32" s="197">
        <f t="shared" si="101"/>
        <v>0</v>
      </c>
      <c r="U32" s="197">
        <f t="shared" si="101"/>
        <v>0</v>
      </c>
      <c r="V32" s="197">
        <f t="shared" si="101"/>
        <v>0</v>
      </c>
      <c r="W32" s="197">
        <f t="shared" si="101"/>
        <v>0</v>
      </c>
      <c r="X32" s="197">
        <f t="shared" si="101"/>
        <v>0</v>
      </c>
      <c r="Y32" s="197">
        <f t="shared" si="101"/>
        <v>0</v>
      </c>
      <c r="Z32" s="197">
        <f t="shared" si="101"/>
        <v>0</v>
      </c>
      <c r="AA32" s="197">
        <f t="shared" si="101"/>
        <v>0</v>
      </c>
      <c r="AB32" s="197">
        <f t="shared" si="101"/>
        <v>0</v>
      </c>
      <c r="AC32" s="197">
        <f t="shared" si="101"/>
        <v>0</v>
      </c>
      <c r="AD32" s="197">
        <f t="shared" si="101"/>
        <v>0</v>
      </c>
      <c r="AE32" s="197">
        <f t="shared" si="101"/>
        <v>0</v>
      </c>
      <c r="AF32" s="197">
        <f t="shared" si="101"/>
        <v>0</v>
      </c>
      <c r="AG32" s="197">
        <f t="shared" si="101"/>
        <v>0</v>
      </c>
      <c r="AH32" s="197">
        <f t="shared" si="101"/>
        <v>0</v>
      </c>
      <c r="AI32" s="197">
        <f t="shared" si="101"/>
        <v>0</v>
      </c>
      <c r="AJ32" s="197">
        <f t="shared" si="101"/>
        <v>0</v>
      </c>
      <c r="AK32" s="197">
        <f t="shared" si="101"/>
        <v>0</v>
      </c>
      <c r="AL32" s="197">
        <f t="shared" si="101"/>
        <v>0</v>
      </c>
      <c r="AM32" s="197">
        <f t="shared" si="101"/>
        <v>0</v>
      </c>
      <c r="AN32" s="197">
        <f t="shared" si="101"/>
        <v>0</v>
      </c>
      <c r="AO32" s="197">
        <f t="shared" si="101"/>
        <v>0</v>
      </c>
      <c r="AP32" s="197">
        <f t="shared" si="101"/>
        <v>0</v>
      </c>
      <c r="AQ32" s="197">
        <f t="shared" si="101"/>
        <v>0</v>
      </c>
      <c r="AR32" s="197">
        <f t="shared" si="101"/>
        <v>0</v>
      </c>
      <c r="AS32" s="197">
        <f t="shared" si="101"/>
        <v>0</v>
      </c>
      <c r="AT32" s="197">
        <f t="shared" si="101"/>
        <v>0</v>
      </c>
      <c r="AU32" s="197">
        <f t="shared" si="101"/>
        <v>0</v>
      </c>
      <c r="AV32" s="197">
        <f t="shared" si="101"/>
        <v>0</v>
      </c>
      <c r="AW32" s="197">
        <f t="shared" si="101"/>
        <v>0</v>
      </c>
      <c r="AX32" s="197">
        <f t="shared" ref="AX32:BI32" si="102">SUM(AX33:AX36)</f>
        <v>58794453.060000002</v>
      </c>
      <c r="AY32" s="197">
        <f t="shared" si="102"/>
        <v>0</v>
      </c>
      <c r="AZ32" s="197">
        <f t="shared" si="102"/>
        <v>11250390.26</v>
      </c>
      <c r="BA32" s="197">
        <f t="shared" si="102"/>
        <v>70044843.320000008</v>
      </c>
      <c r="BB32" s="197">
        <f t="shared" si="102"/>
        <v>0</v>
      </c>
      <c r="BC32" s="197">
        <f t="shared" si="102"/>
        <v>70044843.320000008</v>
      </c>
      <c r="BD32" s="197">
        <f t="shared" si="102"/>
        <v>0</v>
      </c>
      <c r="BE32" s="197">
        <f t="shared" si="102"/>
        <v>0</v>
      </c>
      <c r="BF32" s="197">
        <f t="shared" si="102"/>
        <v>0</v>
      </c>
      <c r="BG32" s="197">
        <f t="shared" si="102"/>
        <v>0</v>
      </c>
      <c r="BH32" s="197">
        <f t="shared" si="102"/>
        <v>0</v>
      </c>
      <c r="BI32" s="197">
        <f t="shared" si="102"/>
        <v>0</v>
      </c>
      <c r="BJ32" s="90">
        <f t="shared" si="4"/>
        <v>0</v>
      </c>
      <c r="BK32" s="90">
        <f t="shared" si="5"/>
        <v>0</v>
      </c>
    </row>
    <row r="33" spans="1:63" outlineLevel="1">
      <c r="A33" s="371" t="s">
        <v>567</v>
      </c>
      <c r="B33" s="198">
        <f t="shared" ref="B33:D36" si="103">AX33+BD33</f>
        <v>53022594.359999999</v>
      </c>
      <c r="C33" s="198">
        <f t="shared" si="103"/>
        <v>0</v>
      </c>
      <c r="D33" s="198">
        <f t="shared" si="103"/>
        <v>0</v>
      </c>
      <c r="E33" s="198">
        <f>B33+D33</f>
        <v>53022594.359999999</v>
      </c>
      <c r="F33" s="198">
        <f>BB33+BH33</f>
        <v>0</v>
      </c>
      <c r="G33" s="198">
        <f>E33-F33</f>
        <v>53022594.359999999</v>
      </c>
      <c r="H33" s="199">
        <v>53022594.359999999</v>
      </c>
      <c r="I33" s="199"/>
      <c r="J33" s="199"/>
      <c r="K33" s="198">
        <f t="shared" si="6"/>
        <v>53022594.359999999</v>
      </c>
      <c r="L33" s="199"/>
      <c r="M33" s="198">
        <f t="shared" si="71"/>
        <v>53022594.359999999</v>
      </c>
      <c r="N33" s="199"/>
      <c r="O33" s="199"/>
      <c r="P33" s="199"/>
      <c r="Q33" s="198">
        <f>N33+P33</f>
        <v>0</v>
      </c>
      <c r="R33" s="199"/>
      <c r="S33" s="198">
        <f>Q33-R33</f>
        <v>0</v>
      </c>
      <c r="T33" s="199"/>
      <c r="U33" s="199"/>
      <c r="V33" s="199"/>
      <c r="W33" s="198">
        <f>T33+V33</f>
        <v>0</v>
      </c>
      <c r="X33" s="199"/>
      <c r="Y33" s="198">
        <f>W33-X33</f>
        <v>0</v>
      </c>
      <c r="Z33" s="199"/>
      <c r="AA33" s="199"/>
      <c r="AB33" s="199"/>
      <c r="AC33" s="198">
        <f>Z33+AB33</f>
        <v>0</v>
      </c>
      <c r="AD33" s="199"/>
      <c r="AE33" s="198">
        <f>AC33-AD33</f>
        <v>0</v>
      </c>
      <c r="AF33" s="199"/>
      <c r="AG33" s="199"/>
      <c r="AH33" s="199"/>
      <c r="AI33" s="198">
        <f>AF33+AH33</f>
        <v>0</v>
      </c>
      <c r="AJ33" s="199"/>
      <c r="AK33" s="198">
        <f>AI33-AJ33</f>
        <v>0</v>
      </c>
      <c r="AL33" s="199"/>
      <c r="AM33" s="199"/>
      <c r="AN33" s="199"/>
      <c r="AO33" s="198">
        <f>AL33+AN33</f>
        <v>0</v>
      </c>
      <c r="AP33" s="199"/>
      <c r="AQ33" s="198">
        <f>AO33-AP33</f>
        <v>0</v>
      </c>
      <c r="AR33" s="199"/>
      <c r="AS33" s="199"/>
      <c r="AT33" s="199"/>
      <c r="AU33" s="198">
        <f>AR33+AT33</f>
        <v>0</v>
      </c>
      <c r="AV33" s="199"/>
      <c r="AW33" s="198">
        <f>AU33-AV33</f>
        <v>0</v>
      </c>
      <c r="AX33" s="198">
        <f>SUMIF($H$6:$AW$6,"年初累计发生额",H33:AW33)</f>
        <v>53022594.359999999</v>
      </c>
      <c r="AY33" s="198">
        <f>SUMIF($H$6:$AW$6,"本月发生额",H33:AW33)</f>
        <v>0</v>
      </c>
      <c r="AZ33" s="198">
        <f>SUMIF($H$6:$AW$6,"本年发生额",H33:AW33)</f>
        <v>0</v>
      </c>
      <c r="BA33" s="198">
        <f>SUMIF($H$6:$AW$6,"自开工累计发生额",H33:AW33)</f>
        <v>53022594.359999999</v>
      </c>
      <c r="BB33" s="198">
        <f>SUMIF($H$6:$AW$6,"结转开发成本累计金额",H33:AW33)</f>
        <v>0</v>
      </c>
      <c r="BC33" s="198">
        <f>SUMIF($H$6:$AW$6,"开发成本期末余额",H33:AW33)</f>
        <v>53022594.359999999</v>
      </c>
      <c r="BD33" s="199"/>
      <c r="BE33" s="199"/>
      <c r="BF33" s="199"/>
      <c r="BG33" s="198">
        <f>BD33+BF33</f>
        <v>0</v>
      </c>
      <c r="BH33" s="199"/>
      <c r="BI33" s="198">
        <f>BG33-BH33</f>
        <v>0</v>
      </c>
      <c r="BJ33" s="90">
        <f t="shared" si="4"/>
        <v>0</v>
      </c>
      <c r="BK33" s="90">
        <f t="shared" si="5"/>
        <v>0</v>
      </c>
    </row>
    <row r="34" spans="1:63" outlineLevel="1">
      <c r="A34" s="371" t="s">
        <v>568</v>
      </c>
      <c r="B34" s="198">
        <f t="shared" si="103"/>
        <v>5771858.7000000002</v>
      </c>
      <c r="C34" s="198">
        <f t="shared" si="103"/>
        <v>0</v>
      </c>
      <c r="D34" s="198">
        <f t="shared" si="103"/>
        <v>9356955.0299999993</v>
      </c>
      <c r="E34" s="198">
        <f>B34+D34</f>
        <v>15128813.73</v>
      </c>
      <c r="F34" s="198">
        <f>BB34+BH34</f>
        <v>0</v>
      </c>
      <c r="G34" s="198">
        <f>E34-F34</f>
        <v>15128813.73</v>
      </c>
      <c r="H34" s="199">
        <v>5771858.7000000002</v>
      </c>
      <c r="I34" s="199"/>
      <c r="J34" s="199">
        <v>9356955.0299999993</v>
      </c>
      <c r="K34" s="198">
        <f t="shared" si="6"/>
        <v>15128813.73</v>
      </c>
      <c r="L34" s="199"/>
      <c r="M34" s="198">
        <f t="shared" si="71"/>
        <v>15128813.73</v>
      </c>
      <c r="N34" s="199"/>
      <c r="O34" s="199"/>
      <c r="P34" s="199"/>
      <c r="Q34" s="198">
        <f>N34+P34</f>
        <v>0</v>
      </c>
      <c r="R34" s="199"/>
      <c r="S34" s="198">
        <f>Q34-R34</f>
        <v>0</v>
      </c>
      <c r="T34" s="199"/>
      <c r="U34" s="199"/>
      <c r="V34" s="199"/>
      <c r="W34" s="198">
        <f>T34+V34</f>
        <v>0</v>
      </c>
      <c r="X34" s="199"/>
      <c r="Y34" s="198">
        <f>W34-X34</f>
        <v>0</v>
      </c>
      <c r="Z34" s="199"/>
      <c r="AA34" s="199"/>
      <c r="AB34" s="199"/>
      <c r="AC34" s="198">
        <f>Z34+AB34</f>
        <v>0</v>
      </c>
      <c r="AD34" s="199"/>
      <c r="AE34" s="198">
        <f>AC34-AD34</f>
        <v>0</v>
      </c>
      <c r="AF34" s="199"/>
      <c r="AG34" s="199"/>
      <c r="AH34" s="199"/>
      <c r="AI34" s="198">
        <f>AF34+AH34</f>
        <v>0</v>
      </c>
      <c r="AJ34" s="199"/>
      <c r="AK34" s="198">
        <f>AI34-AJ34</f>
        <v>0</v>
      </c>
      <c r="AL34" s="199"/>
      <c r="AM34" s="199"/>
      <c r="AN34" s="199"/>
      <c r="AO34" s="198">
        <f>AL34+AN34</f>
        <v>0</v>
      </c>
      <c r="AP34" s="199"/>
      <c r="AQ34" s="198">
        <f>AO34-AP34</f>
        <v>0</v>
      </c>
      <c r="AR34" s="199"/>
      <c r="AS34" s="199"/>
      <c r="AT34" s="199"/>
      <c r="AU34" s="198">
        <f>AR34+AT34</f>
        <v>0</v>
      </c>
      <c r="AV34" s="199"/>
      <c r="AW34" s="198">
        <f>AU34-AV34</f>
        <v>0</v>
      </c>
      <c r="AX34" s="198">
        <f>SUMIF($H$6:$AW$6,"年初累计发生额",H34:AW34)</f>
        <v>5771858.7000000002</v>
      </c>
      <c r="AY34" s="198">
        <f>SUMIF($H$6:$AW$6,"本月发生额",H34:AW34)</f>
        <v>0</v>
      </c>
      <c r="AZ34" s="198">
        <f>SUMIF($H$6:$AW$6,"本年发生额",H34:AW34)</f>
        <v>9356955.0299999993</v>
      </c>
      <c r="BA34" s="198">
        <f>SUMIF($H$6:$AW$6,"自开工累计发生额",H34:AW34)</f>
        <v>15128813.73</v>
      </c>
      <c r="BB34" s="198">
        <f>SUMIF($H$6:$AW$6,"结转开发成本累计金额",H34:AW34)</f>
        <v>0</v>
      </c>
      <c r="BC34" s="198">
        <f>SUMIF($H$6:$AW$6,"开发成本期末余额",H34:AW34)</f>
        <v>15128813.73</v>
      </c>
      <c r="BD34" s="199"/>
      <c r="BE34" s="199"/>
      <c r="BF34" s="199"/>
      <c r="BG34" s="198">
        <f>BD34+BF34</f>
        <v>0</v>
      </c>
      <c r="BH34" s="199"/>
      <c r="BI34" s="198">
        <f>BG34-BH34</f>
        <v>0</v>
      </c>
      <c r="BJ34" s="90">
        <f t="shared" si="4"/>
        <v>0</v>
      </c>
      <c r="BK34" s="90">
        <f t="shared" si="5"/>
        <v>0</v>
      </c>
    </row>
    <row r="35" spans="1:63" outlineLevel="1">
      <c r="A35" s="371" t="s">
        <v>569</v>
      </c>
      <c r="B35" s="198">
        <f t="shared" ref="B35" si="104">AX35+BD35</f>
        <v>0</v>
      </c>
      <c r="C35" s="198">
        <f t="shared" ref="C35" si="105">AY35+BE35</f>
        <v>0</v>
      </c>
      <c r="D35" s="198">
        <f t="shared" ref="D35" si="106">AZ35+BF35</f>
        <v>0</v>
      </c>
      <c r="E35" s="198">
        <f>B35+D35</f>
        <v>0</v>
      </c>
      <c r="F35" s="198">
        <f>BB35+BH35</f>
        <v>0</v>
      </c>
      <c r="G35" s="198">
        <f>E35-F35</f>
        <v>0</v>
      </c>
      <c r="H35" s="199"/>
      <c r="I35" s="199"/>
      <c r="J35" s="199"/>
      <c r="K35" s="198">
        <f t="shared" ref="K35" si="107">H35+J35</f>
        <v>0</v>
      </c>
      <c r="L35" s="199"/>
      <c r="M35" s="198">
        <f t="shared" ref="M35" si="108">K35-L35</f>
        <v>0</v>
      </c>
      <c r="N35" s="199"/>
      <c r="O35" s="199"/>
      <c r="P35" s="199"/>
      <c r="Q35" s="198">
        <f>N35+P35</f>
        <v>0</v>
      </c>
      <c r="R35" s="199"/>
      <c r="S35" s="198">
        <f>Q35-R35</f>
        <v>0</v>
      </c>
      <c r="T35" s="199"/>
      <c r="U35" s="199"/>
      <c r="V35" s="199"/>
      <c r="W35" s="198">
        <f>T35+V35</f>
        <v>0</v>
      </c>
      <c r="X35" s="199"/>
      <c r="Y35" s="198">
        <f>W35-X35</f>
        <v>0</v>
      </c>
      <c r="Z35" s="199"/>
      <c r="AA35" s="199"/>
      <c r="AB35" s="199"/>
      <c r="AC35" s="198">
        <f>Z35+AB35</f>
        <v>0</v>
      </c>
      <c r="AD35" s="199"/>
      <c r="AE35" s="198">
        <f>AC35-AD35</f>
        <v>0</v>
      </c>
      <c r="AF35" s="199"/>
      <c r="AG35" s="199"/>
      <c r="AH35" s="199"/>
      <c r="AI35" s="198">
        <f>AF35+AH35</f>
        <v>0</v>
      </c>
      <c r="AJ35" s="199"/>
      <c r="AK35" s="198">
        <f>AI35-AJ35</f>
        <v>0</v>
      </c>
      <c r="AL35" s="199"/>
      <c r="AM35" s="199"/>
      <c r="AN35" s="199"/>
      <c r="AO35" s="198">
        <f>AL35+AN35</f>
        <v>0</v>
      </c>
      <c r="AP35" s="199"/>
      <c r="AQ35" s="198">
        <f>AO35-AP35</f>
        <v>0</v>
      </c>
      <c r="AR35" s="199"/>
      <c r="AS35" s="199"/>
      <c r="AT35" s="199"/>
      <c r="AU35" s="198">
        <f>AR35+AT35</f>
        <v>0</v>
      </c>
      <c r="AV35" s="199"/>
      <c r="AW35" s="198">
        <f>AU35-AV35</f>
        <v>0</v>
      </c>
      <c r="AX35" s="198">
        <f>SUMIF($H$6:$AW$6,"年初累计发生额",H35:AW35)</f>
        <v>0</v>
      </c>
      <c r="AY35" s="198">
        <f>SUMIF($H$6:$AW$6,"本月发生额",H35:AW35)</f>
        <v>0</v>
      </c>
      <c r="AZ35" s="198">
        <f>SUMIF($H$6:$AW$6,"本年发生额",H35:AW35)</f>
        <v>0</v>
      </c>
      <c r="BA35" s="198">
        <f>SUMIF($H$6:$AW$6,"自开工累计发生额",H35:AW35)</f>
        <v>0</v>
      </c>
      <c r="BB35" s="198">
        <f>SUMIF($H$6:$AW$6,"结转开发成本累计金额",H35:AW35)</f>
        <v>0</v>
      </c>
      <c r="BC35" s="198">
        <f>SUMIF($H$6:$AW$6,"开发成本期末余额",H35:AW35)</f>
        <v>0</v>
      </c>
      <c r="BD35" s="199"/>
      <c r="BE35" s="199"/>
      <c r="BF35" s="199"/>
      <c r="BG35" s="198">
        <f>BD35+BF35</f>
        <v>0</v>
      </c>
      <c r="BH35" s="199"/>
      <c r="BI35" s="198">
        <f>BG35-BH35</f>
        <v>0</v>
      </c>
      <c r="BJ35" s="90">
        <f t="shared" si="4"/>
        <v>0</v>
      </c>
      <c r="BK35" s="90">
        <f t="shared" si="5"/>
        <v>0</v>
      </c>
    </row>
    <row r="36" spans="1:63" outlineLevel="1">
      <c r="A36" s="371" t="s">
        <v>570</v>
      </c>
      <c r="B36" s="198">
        <f t="shared" si="103"/>
        <v>0</v>
      </c>
      <c r="C36" s="198">
        <f t="shared" si="103"/>
        <v>0</v>
      </c>
      <c r="D36" s="198">
        <f t="shared" si="103"/>
        <v>1893435.23</v>
      </c>
      <c r="E36" s="198">
        <f>B36+D36</f>
        <v>1893435.23</v>
      </c>
      <c r="F36" s="198">
        <f>BB36+BH36</f>
        <v>0</v>
      </c>
      <c r="G36" s="198">
        <f>E36-F36</f>
        <v>1893435.23</v>
      </c>
      <c r="H36" s="199"/>
      <c r="I36" s="199"/>
      <c r="J36" s="199">
        <v>1893435.23</v>
      </c>
      <c r="K36" s="198">
        <f t="shared" si="6"/>
        <v>1893435.23</v>
      </c>
      <c r="L36" s="199"/>
      <c r="M36" s="198">
        <f t="shared" si="71"/>
        <v>1893435.23</v>
      </c>
      <c r="N36" s="199"/>
      <c r="O36" s="199"/>
      <c r="P36" s="199"/>
      <c r="Q36" s="198">
        <f>N36+P36</f>
        <v>0</v>
      </c>
      <c r="R36" s="199"/>
      <c r="S36" s="198">
        <f>Q36-R36</f>
        <v>0</v>
      </c>
      <c r="T36" s="199"/>
      <c r="U36" s="199"/>
      <c r="V36" s="199"/>
      <c r="W36" s="198">
        <f>T36+V36</f>
        <v>0</v>
      </c>
      <c r="X36" s="199"/>
      <c r="Y36" s="198">
        <f>W36-X36</f>
        <v>0</v>
      </c>
      <c r="Z36" s="199"/>
      <c r="AA36" s="199"/>
      <c r="AB36" s="199"/>
      <c r="AC36" s="198">
        <f>Z36+AB36</f>
        <v>0</v>
      </c>
      <c r="AD36" s="199"/>
      <c r="AE36" s="198">
        <f>AC36-AD36</f>
        <v>0</v>
      </c>
      <c r="AF36" s="199"/>
      <c r="AG36" s="199"/>
      <c r="AH36" s="199"/>
      <c r="AI36" s="198">
        <f>AF36+AH36</f>
        <v>0</v>
      </c>
      <c r="AJ36" s="199"/>
      <c r="AK36" s="198">
        <f>AI36-AJ36</f>
        <v>0</v>
      </c>
      <c r="AL36" s="199"/>
      <c r="AM36" s="199"/>
      <c r="AN36" s="199"/>
      <c r="AO36" s="198">
        <f>AL36+AN36</f>
        <v>0</v>
      </c>
      <c r="AP36" s="199"/>
      <c r="AQ36" s="198">
        <f>AO36-AP36</f>
        <v>0</v>
      </c>
      <c r="AR36" s="199"/>
      <c r="AS36" s="199"/>
      <c r="AT36" s="199"/>
      <c r="AU36" s="198">
        <f>AR36+AT36</f>
        <v>0</v>
      </c>
      <c r="AV36" s="199"/>
      <c r="AW36" s="198">
        <f>AU36-AV36</f>
        <v>0</v>
      </c>
      <c r="AX36" s="198">
        <f>SUMIF($H$6:$AW$6,"年初累计发生额",H36:AW36)</f>
        <v>0</v>
      </c>
      <c r="AY36" s="198">
        <f>SUMIF($H$6:$AW$6,"本月发生额",H36:AW36)</f>
        <v>0</v>
      </c>
      <c r="AZ36" s="198">
        <f>SUMIF($H$6:$AW$6,"本年发生额",H36:AW36)</f>
        <v>1893435.23</v>
      </c>
      <c r="BA36" s="198">
        <f>SUMIF($H$6:$AW$6,"自开工累计发生额",H36:AW36)</f>
        <v>1893435.23</v>
      </c>
      <c r="BB36" s="198">
        <f>SUMIF($H$6:$AW$6,"结转开发成本累计金额",H36:AW36)</f>
        <v>0</v>
      </c>
      <c r="BC36" s="198">
        <f>SUMIF($H$6:$AW$6,"开发成本期末余额",H36:AW36)</f>
        <v>1893435.23</v>
      </c>
      <c r="BD36" s="199"/>
      <c r="BE36" s="199"/>
      <c r="BF36" s="199"/>
      <c r="BG36" s="198">
        <f>BD36+BF36</f>
        <v>0</v>
      </c>
      <c r="BH36" s="199"/>
      <c r="BI36" s="198">
        <f>BG36-BH36</f>
        <v>0</v>
      </c>
      <c r="BJ36" s="90">
        <f t="shared" si="4"/>
        <v>0</v>
      </c>
      <c r="BK36" s="90">
        <f t="shared" si="5"/>
        <v>0</v>
      </c>
    </row>
    <row r="37" spans="1:63" s="190" customFormat="1">
      <c r="A37" s="370" t="s">
        <v>571</v>
      </c>
      <c r="B37" s="197">
        <f t="shared" ref="B37:AG37" si="109">SUM(B38:B41)</f>
        <v>0</v>
      </c>
      <c r="C37" s="197">
        <f t="shared" si="109"/>
        <v>0</v>
      </c>
      <c r="D37" s="197">
        <f t="shared" si="109"/>
        <v>0</v>
      </c>
      <c r="E37" s="197">
        <f t="shared" si="109"/>
        <v>0</v>
      </c>
      <c r="F37" s="197">
        <f t="shared" si="109"/>
        <v>0</v>
      </c>
      <c r="G37" s="197">
        <f t="shared" si="109"/>
        <v>0</v>
      </c>
      <c r="H37" s="197">
        <f t="shared" si="109"/>
        <v>0</v>
      </c>
      <c r="I37" s="197">
        <f t="shared" si="109"/>
        <v>0</v>
      </c>
      <c r="J37" s="197">
        <f t="shared" si="109"/>
        <v>0</v>
      </c>
      <c r="K37" s="197">
        <f t="shared" si="109"/>
        <v>0</v>
      </c>
      <c r="L37" s="197">
        <f t="shared" si="109"/>
        <v>0</v>
      </c>
      <c r="M37" s="197">
        <f t="shared" si="109"/>
        <v>0</v>
      </c>
      <c r="N37" s="197">
        <f t="shared" si="109"/>
        <v>0</v>
      </c>
      <c r="O37" s="197">
        <f t="shared" si="109"/>
        <v>0</v>
      </c>
      <c r="P37" s="197">
        <f t="shared" si="109"/>
        <v>0</v>
      </c>
      <c r="Q37" s="197">
        <f t="shared" si="109"/>
        <v>0</v>
      </c>
      <c r="R37" s="197">
        <f t="shared" si="109"/>
        <v>0</v>
      </c>
      <c r="S37" s="197">
        <f t="shared" si="109"/>
        <v>0</v>
      </c>
      <c r="T37" s="197">
        <f t="shared" si="109"/>
        <v>0</v>
      </c>
      <c r="U37" s="197">
        <f t="shared" si="109"/>
        <v>0</v>
      </c>
      <c r="V37" s="197">
        <f t="shared" si="109"/>
        <v>0</v>
      </c>
      <c r="W37" s="197">
        <f t="shared" si="109"/>
        <v>0</v>
      </c>
      <c r="X37" s="197">
        <f t="shared" si="109"/>
        <v>0</v>
      </c>
      <c r="Y37" s="197">
        <f t="shared" si="109"/>
        <v>0</v>
      </c>
      <c r="Z37" s="197">
        <f t="shared" si="109"/>
        <v>0</v>
      </c>
      <c r="AA37" s="197">
        <f t="shared" si="109"/>
        <v>0</v>
      </c>
      <c r="AB37" s="197">
        <f t="shared" si="109"/>
        <v>0</v>
      </c>
      <c r="AC37" s="197">
        <f t="shared" si="109"/>
        <v>0</v>
      </c>
      <c r="AD37" s="197">
        <f t="shared" si="109"/>
        <v>0</v>
      </c>
      <c r="AE37" s="197">
        <f t="shared" si="109"/>
        <v>0</v>
      </c>
      <c r="AF37" s="197">
        <f t="shared" si="109"/>
        <v>0</v>
      </c>
      <c r="AG37" s="197">
        <f t="shared" si="109"/>
        <v>0</v>
      </c>
      <c r="AH37" s="197">
        <f t="shared" ref="AH37:BI37" si="110">SUM(AH38:AH41)</f>
        <v>0</v>
      </c>
      <c r="AI37" s="197">
        <f t="shared" si="110"/>
        <v>0</v>
      </c>
      <c r="AJ37" s="197">
        <f t="shared" si="110"/>
        <v>0</v>
      </c>
      <c r="AK37" s="197">
        <f t="shared" si="110"/>
        <v>0</v>
      </c>
      <c r="AL37" s="197">
        <f t="shared" si="110"/>
        <v>0</v>
      </c>
      <c r="AM37" s="197">
        <f t="shared" si="110"/>
        <v>0</v>
      </c>
      <c r="AN37" s="197">
        <f t="shared" si="110"/>
        <v>0</v>
      </c>
      <c r="AO37" s="197">
        <f t="shared" si="110"/>
        <v>0</v>
      </c>
      <c r="AP37" s="197">
        <f t="shared" si="110"/>
        <v>0</v>
      </c>
      <c r="AQ37" s="197">
        <f t="shared" si="110"/>
        <v>0</v>
      </c>
      <c r="AR37" s="197">
        <f t="shared" si="110"/>
        <v>0</v>
      </c>
      <c r="AS37" s="197">
        <f t="shared" si="110"/>
        <v>0</v>
      </c>
      <c r="AT37" s="197">
        <f t="shared" si="110"/>
        <v>0</v>
      </c>
      <c r="AU37" s="197">
        <f t="shared" si="110"/>
        <v>0</v>
      </c>
      <c r="AV37" s="197">
        <f t="shared" si="110"/>
        <v>0</v>
      </c>
      <c r="AW37" s="197">
        <f t="shared" si="110"/>
        <v>0</v>
      </c>
      <c r="AX37" s="197">
        <f t="shared" si="110"/>
        <v>0</v>
      </c>
      <c r="AY37" s="197">
        <f t="shared" si="110"/>
        <v>0</v>
      </c>
      <c r="AZ37" s="197">
        <f t="shared" si="110"/>
        <v>0</v>
      </c>
      <c r="BA37" s="197">
        <f t="shared" si="110"/>
        <v>0</v>
      </c>
      <c r="BB37" s="197">
        <f t="shared" si="110"/>
        <v>0</v>
      </c>
      <c r="BC37" s="197">
        <f t="shared" si="110"/>
        <v>0</v>
      </c>
      <c r="BD37" s="197">
        <f t="shared" si="110"/>
        <v>0</v>
      </c>
      <c r="BE37" s="197">
        <f t="shared" si="110"/>
        <v>0</v>
      </c>
      <c r="BF37" s="197">
        <f t="shared" si="110"/>
        <v>0</v>
      </c>
      <c r="BG37" s="197">
        <f t="shared" si="110"/>
        <v>0</v>
      </c>
      <c r="BH37" s="197">
        <f t="shared" si="110"/>
        <v>0</v>
      </c>
      <c r="BI37" s="197">
        <f t="shared" si="110"/>
        <v>0</v>
      </c>
      <c r="BJ37" s="90">
        <f t="shared" si="4"/>
        <v>0</v>
      </c>
      <c r="BK37" s="90">
        <f t="shared" si="5"/>
        <v>0</v>
      </c>
    </row>
    <row r="38" spans="1:63" s="190" customFormat="1" outlineLevel="1">
      <c r="A38" s="371" t="s">
        <v>572</v>
      </c>
      <c r="B38" s="198">
        <f t="shared" ref="B38:D42" si="111">AX38+BD38</f>
        <v>0</v>
      </c>
      <c r="C38" s="198">
        <f t="shared" si="111"/>
        <v>0</v>
      </c>
      <c r="D38" s="198">
        <f t="shared" si="111"/>
        <v>0</v>
      </c>
      <c r="E38" s="198">
        <f t="shared" ref="E38:E42" si="112">B38+D38</f>
        <v>0</v>
      </c>
      <c r="F38" s="198">
        <f t="shared" ref="F38:F42" si="113">BB38+BH38</f>
        <v>0</v>
      </c>
      <c r="G38" s="198">
        <f t="shared" ref="G38:G42" si="114">E38-F38</f>
        <v>0</v>
      </c>
      <c r="H38" s="200"/>
      <c r="I38" s="200"/>
      <c r="J38" s="200"/>
      <c r="K38" s="198">
        <f t="shared" si="6"/>
        <v>0</v>
      </c>
      <c r="L38" s="200"/>
      <c r="M38" s="198">
        <f t="shared" si="71"/>
        <v>0</v>
      </c>
      <c r="N38" s="200"/>
      <c r="O38" s="200"/>
      <c r="P38" s="200"/>
      <c r="Q38" s="198">
        <f t="shared" ref="Q38:Q42" si="115">N38+P38</f>
        <v>0</v>
      </c>
      <c r="R38" s="200"/>
      <c r="S38" s="198">
        <f t="shared" ref="S38:S42" si="116">Q38-R38</f>
        <v>0</v>
      </c>
      <c r="T38" s="200"/>
      <c r="U38" s="200"/>
      <c r="V38" s="200"/>
      <c r="W38" s="198">
        <f t="shared" ref="W38:W42" si="117">T38+V38</f>
        <v>0</v>
      </c>
      <c r="X38" s="200"/>
      <c r="Y38" s="198">
        <f t="shared" ref="Y38:Y42" si="118">W38-X38</f>
        <v>0</v>
      </c>
      <c r="Z38" s="200"/>
      <c r="AA38" s="200"/>
      <c r="AB38" s="200"/>
      <c r="AC38" s="198">
        <f t="shared" ref="AC38:AC42" si="119">Z38+AB38</f>
        <v>0</v>
      </c>
      <c r="AD38" s="200"/>
      <c r="AE38" s="198">
        <f t="shared" ref="AE38:AE42" si="120">AC38-AD38</f>
        <v>0</v>
      </c>
      <c r="AF38" s="200"/>
      <c r="AG38" s="200"/>
      <c r="AH38" s="200"/>
      <c r="AI38" s="198">
        <f t="shared" ref="AI38:AI42" si="121">AF38+AH38</f>
        <v>0</v>
      </c>
      <c r="AJ38" s="200"/>
      <c r="AK38" s="198">
        <f t="shared" ref="AK38:AK42" si="122">AI38-AJ38</f>
        <v>0</v>
      </c>
      <c r="AL38" s="200"/>
      <c r="AM38" s="200"/>
      <c r="AN38" s="200"/>
      <c r="AO38" s="198">
        <f t="shared" ref="AO38:AO42" si="123">AL38+AN38</f>
        <v>0</v>
      </c>
      <c r="AP38" s="200"/>
      <c r="AQ38" s="198">
        <f t="shared" ref="AQ38:AQ42" si="124">AO38-AP38</f>
        <v>0</v>
      </c>
      <c r="AR38" s="200"/>
      <c r="AS38" s="200"/>
      <c r="AT38" s="200"/>
      <c r="AU38" s="198">
        <f t="shared" ref="AU38:AU42" si="125">AR38+AT38</f>
        <v>0</v>
      </c>
      <c r="AV38" s="200"/>
      <c r="AW38" s="198">
        <f t="shared" ref="AW38:AW42" si="126">AU38-AV38</f>
        <v>0</v>
      </c>
      <c r="AX38" s="198">
        <f t="shared" ref="AX38:AX42" si="127">SUMIF($H$6:$AW$6,"年初累计发生额",H38:AW38)</f>
        <v>0</v>
      </c>
      <c r="AY38" s="198">
        <f t="shared" ref="AY38:AY42" si="128">SUMIF($H$6:$AW$6,"本月发生额",H38:AW38)</f>
        <v>0</v>
      </c>
      <c r="AZ38" s="198">
        <f t="shared" ref="AZ38:AZ42" si="129">SUMIF($H$6:$AW$6,"本年发生额",H38:AW38)</f>
        <v>0</v>
      </c>
      <c r="BA38" s="198">
        <f t="shared" ref="BA38:BA42" si="130">SUMIF($H$6:$AW$6,"自开工累计发生额",H38:AW38)</f>
        <v>0</v>
      </c>
      <c r="BB38" s="198">
        <f t="shared" ref="BB38:BB42" si="131">SUMIF($H$6:$AW$6,"结转开发成本累计金额",H38:AW38)</f>
        <v>0</v>
      </c>
      <c r="BC38" s="198">
        <f t="shared" ref="BC38:BC42" si="132">SUMIF($H$6:$AW$6,"开发成本期末余额",H38:AW38)</f>
        <v>0</v>
      </c>
      <c r="BD38" s="200"/>
      <c r="BE38" s="200"/>
      <c r="BF38" s="200"/>
      <c r="BG38" s="198">
        <f t="shared" ref="BG38:BG42" si="133">BD38+BF38</f>
        <v>0</v>
      </c>
      <c r="BH38" s="200"/>
      <c r="BI38" s="198">
        <f t="shared" ref="BI38:BI42" si="134">BG38-BH38</f>
        <v>0</v>
      </c>
      <c r="BJ38" s="90">
        <f t="shared" si="4"/>
        <v>0</v>
      </c>
      <c r="BK38" s="90">
        <f t="shared" si="5"/>
        <v>0</v>
      </c>
    </row>
    <row r="39" spans="1:63" s="190" customFormat="1" outlineLevel="1">
      <c r="A39" s="371" t="s">
        <v>573</v>
      </c>
      <c r="B39" s="198">
        <f t="shared" si="111"/>
        <v>0</v>
      </c>
      <c r="C39" s="198">
        <f t="shared" si="111"/>
        <v>0</v>
      </c>
      <c r="D39" s="198">
        <f t="shared" si="111"/>
        <v>0</v>
      </c>
      <c r="E39" s="198">
        <f t="shared" si="112"/>
        <v>0</v>
      </c>
      <c r="F39" s="198">
        <f t="shared" si="113"/>
        <v>0</v>
      </c>
      <c r="G39" s="198">
        <f t="shared" si="114"/>
        <v>0</v>
      </c>
      <c r="H39" s="200"/>
      <c r="I39" s="200"/>
      <c r="J39" s="200"/>
      <c r="K39" s="198">
        <f t="shared" si="6"/>
        <v>0</v>
      </c>
      <c r="L39" s="200"/>
      <c r="M39" s="198">
        <f t="shared" si="71"/>
        <v>0</v>
      </c>
      <c r="N39" s="200"/>
      <c r="O39" s="200"/>
      <c r="P39" s="200"/>
      <c r="Q39" s="198">
        <f t="shared" si="115"/>
        <v>0</v>
      </c>
      <c r="R39" s="200"/>
      <c r="S39" s="198">
        <f t="shared" si="116"/>
        <v>0</v>
      </c>
      <c r="T39" s="200"/>
      <c r="U39" s="200"/>
      <c r="V39" s="200"/>
      <c r="W39" s="198">
        <f t="shared" si="117"/>
        <v>0</v>
      </c>
      <c r="X39" s="200"/>
      <c r="Y39" s="198">
        <f t="shared" si="118"/>
        <v>0</v>
      </c>
      <c r="Z39" s="200"/>
      <c r="AA39" s="200"/>
      <c r="AB39" s="200"/>
      <c r="AC39" s="198">
        <f t="shared" si="119"/>
        <v>0</v>
      </c>
      <c r="AD39" s="200"/>
      <c r="AE39" s="198">
        <f t="shared" si="120"/>
        <v>0</v>
      </c>
      <c r="AF39" s="200"/>
      <c r="AG39" s="200"/>
      <c r="AH39" s="200"/>
      <c r="AI39" s="198">
        <f t="shared" si="121"/>
        <v>0</v>
      </c>
      <c r="AJ39" s="200"/>
      <c r="AK39" s="198">
        <f t="shared" si="122"/>
        <v>0</v>
      </c>
      <c r="AL39" s="200"/>
      <c r="AM39" s="200"/>
      <c r="AN39" s="200"/>
      <c r="AO39" s="198">
        <f t="shared" si="123"/>
        <v>0</v>
      </c>
      <c r="AP39" s="200"/>
      <c r="AQ39" s="198">
        <f t="shared" si="124"/>
        <v>0</v>
      </c>
      <c r="AR39" s="200"/>
      <c r="AS39" s="200"/>
      <c r="AT39" s="200"/>
      <c r="AU39" s="198">
        <f t="shared" si="125"/>
        <v>0</v>
      </c>
      <c r="AV39" s="200"/>
      <c r="AW39" s="198">
        <f t="shared" si="126"/>
        <v>0</v>
      </c>
      <c r="AX39" s="198">
        <f t="shared" si="127"/>
        <v>0</v>
      </c>
      <c r="AY39" s="198">
        <f t="shared" si="128"/>
        <v>0</v>
      </c>
      <c r="AZ39" s="198">
        <f t="shared" si="129"/>
        <v>0</v>
      </c>
      <c r="BA39" s="198">
        <f t="shared" si="130"/>
        <v>0</v>
      </c>
      <c r="BB39" s="198">
        <f t="shared" si="131"/>
        <v>0</v>
      </c>
      <c r="BC39" s="198">
        <f t="shared" si="132"/>
        <v>0</v>
      </c>
      <c r="BD39" s="200"/>
      <c r="BE39" s="200"/>
      <c r="BF39" s="200"/>
      <c r="BG39" s="198">
        <f t="shared" si="133"/>
        <v>0</v>
      </c>
      <c r="BH39" s="200"/>
      <c r="BI39" s="198">
        <f t="shared" si="134"/>
        <v>0</v>
      </c>
      <c r="BJ39" s="90">
        <f t="shared" si="4"/>
        <v>0</v>
      </c>
      <c r="BK39" s="90">
        <f t="shared" si="5"/>
        <v>0</v>
      </c>
    </row>
    <row r="40" spans="1:63" s="190" customFormat="1" outlineLevel="1">
      <c r="A40" s="371" t="s">
        <v>574</v>
      </c>
      <c r="B40" s="198">
        <f t="shared" si="111"/>
        <v>0</v>
      </c>
      <c r="C40" s="198">
        <f t="shared" si="111"/>
        <v>0</v>
      </c>
      <c r="D40" s="198">
        <f t="shared" si="111"/>
        <v>0</v>
      </c>
      <c r="E40" s="198">
        <f t="shared" si="112"/>
        <v>0</v>
      </c>
      <c r="F40" s="198">
        <f t="shared" si="113"/>
        <v>0</v>
      </c>
      <c r="G40" s="198">
        <f t="shared" si="114"/>
        <v>0</v>
      </c>
      <c r="H40" s="200"/>
      <c r="I40" s="200"/>
      <c r="J40" s="200"/>
      <c r="K40" s="198">
        <f t="shared" si="6"/>
        <v>0</v>
      </c>
      <c r="L40" s="200"/>
      <c r="M40" s="198">
        <f t="shared" si="71"/>
        <v>0</v>
      </c>
      <c r="N40" s="200"/>
      <c r="O40" s="200"/>
      <c r="P40" s="200"/>
      <c r="Q40" s="198">
        <f t="shared" si="115"/>
        <v>0</v>
      </c>
      <c r="R40" s="200"/>
      <c r="S40" s="198">
        <f t="shared" si="116"/>
        <v>0</v>
      </c>
      <c r="T40" s="200"/>
      <c r="U40" s="200"/>
      <c r="V40" s="200"/>
      <c r="W40" s="198">
        <f t="shared" si="117"/>
        <v>0</v>
      </c>
      <c r="X40" s="200"/>
      <c r="Y40" s="198">
        <f t="shared" si="118"/>
        <v>0</v>
      </c>
      <c r="Z40" s="200"/>
      <c r="AA40" s="200"/>
      <c r="AB40" s="200"/>
      <c r="AC40" s="198">
        <f t="shared" si="119"/>
        <v>0</v>
      </c>
      <c r="AD40" s="200"/>
      <c r="AE40" s="198">
        <f t="shared" si="120"/>
        <v>0</v>
      </c>
      <c r="AF40" s="200"/>
      <c r="AG40" s="200"/>
      <c r="AH40" s="200"/>
      <c r="AI40" s="198">
        <f t="shared" si="121"/>
        <v>0</v>
      </c>
      <c r="AJ40" s="200"/>
      <c r="AK40" s="198">
        <f t="shared" si="122"/>
        <v>0</v>
      </c>
      <c r="AL40" s="200"/>
      <c r="AM40" s="200"/>
      <c r="AN40" s="200"/>
      <c r="AO40" s="198">
        <f t="shared" si="123"/>
        <v>0</v>
      </c>
      <c r="AP40" s="200"/>
      <c r="AQ40" s="198">
        <f t="shared" si="124"/>
        <v>0</v>
      </c>
      <c r="AR40" s="200"/>
      <c r="AS40" s="200"/>
      <c r="AT40" s="200"/>
      <c r="AU40" s="198">
        <f t="shared" si="125"/>
        <v>0</v>
      </c>
      <c r="AV40" s="200"/>
      <c r="AW40" s="198">
        <f t="shared" si="126"/>
        <v>0</v>
      </c>
      <c r="AX40" s="198">
        <f t="shared" si="127"/>
        <v>0</v>
      </c>
      <c r="AY40" s="198">
        <f t="shared" si="128"/>
        <v>0</v>
      </c>
      <c r="AZ40" s="198">
        <f t="shared" si="129"/>
        <v>0</v>
      </c>
      <c r="BA40" s="198">
        <f t="shared" si="130"/>
        <v>0</v>
      </c>
      <c r="BB40" s="198">
        <f t="shared" si="131"/>
        <v>0</v>
      </c>
      <c r="BC40" s="198">
        <f t="shared" si="132"/>
        <v>0</v>
      </c>
      <c r="BD40" s="200"/>
      <c r="BE40" s="200"/>
      <c r="BF40" s="200"/>
      <c r="BG40" s="198">
        <f t="shared" si="133"/>
        <v>0</v>
      </c>
      <c r="BH40" s="200"/>
      <c r="BI40" s="198">
        <f t="shared" si="134"/>
        <v>0</v>
      </c>
      <c r="BJ40" s="90">
        <f t="shared" si="4"/>
        <v>0</v>
      </c>
      <c r="BK40" s="90">
        <f t="shared" si="5"/>
        <v>0</v>
      </c>
    </row>
    <row r="41" spans="1:63" s="190" customFormat="1" outlineLevel="1">
      <c r="A41" s="371" t="s">
        <v>575</v>
      </c>
      <c r="B41" s="198">
        <f t="shared" si="111"/>
        <v>0</v>
      </c>
      <c r="C41" s="198">
        <f t="shared" si="111"/>
        <v>0</v>
      </c>
      <c r="D41" s="198">
        <f t="shared" si="111"/>
        <v>0</v>
      </c>
      <c r="E41" s="198">
        <f t="shared" si="112"/>
        <v>0</v>
      </c>
      <c r="F41" s="198">
        <f t="shared" si="113"/>
        <v>0</v>
      </c>
      <c r="G41" s="198">
        <f t="shared" si="114"/>
        <v>0</v>
      </c>
      <c r="H41" s="200"/>
      <c r="I41" s="200"/>
      <c r="J41" s="200"/>
      <c r="K41" s="198">
        <f t="shared" si="6"/>
        <v>0</v>
      </c>
      <c r="L41" s="200"/>
      <c r="M41" s="198">
        <f t="shared" si="71"/>
        <v>0</v>
      </c>
      <c r="N41" s="200"/>
      <c r="O41" s="200"/>
      <c r="P41" s="200"/>
      <c r="Q41" s="198">
        <f t="shared" si="115"/>
        <v>0</v>
      </c>
      <c r="R41" s="200"/>
      <c r="S41" s="198">
        <f t="shared" si="116"/>
        <v>0</v>
      </c>
      <c r="T41" s="200"/>
      <c r="U41" s="200"/>
      <c r="V41" s="200"/>
      <c r="W41" s="198">
        <f t="shared" si="117"/>
        <v>0</v>
      </c>
      <c r="X41" s="200"/>
      <c r="Y41" s="198">
        <f t="shared" si="118"/>
        <v>0</v>
      </c>
      <c r="Z41" s="200"/>
      <c r="AA41" s="200"/>
      <c r="AB41" s="200"/>
      <c r="AC41" s="198">
        <f t="shared" si="119"/>
        <v>0</v>
      </c>
      <c r="AD41" s="200"/>
      <c r="AE41" s="198">
        <f t="shared" si="120"/>
        <v>0</v>
      </c>
      <c r="AF41" s="200"/>
      <c r="AG41" s="200"/>
      <c r="AH41" s="200"/>
      <c r="AI41" s="198">
        <f t="shared" si="121"/>
        <v>0</v>
      </c>
      <c r="AJ41" s="200"/>
      <c r="AK41" s="198">
        <f t="shared" si="122"/>
        <v>0</v>
      </c>
      <c r="AL41" s="200"/>
      <c r="AM41" s="200"/>
      <c r="AN41" s="200"/>
      <c r="AO41" s="198">
        <f t="shared" si="123"/>
        <v>0</v>
      </c>
      <c r="AP41" s="200"/>
      <c r="AQ41" s="198">
        <f t="shared" si="124"/>
        <v>0</v>
      </c>
      <c r="AR41" s="200"/>
      <c r="AS41" s="200"/>
      <c r="AT41" s="200"/>
      <c r="AU41" s="198">
        <f t="shared" si="125"/>
        <v>0</v>
      </c>
      <c r="AV41" s="200"/>
      <c r="AW41" s="198">
        <f t="shared" si="126"/>
        <v>0</v>
      </c>
      <c r="AX41" s="198">
        <f t="shared" si="127"/>
        <v>0</v>
      </c>
      <c r="AY41" s="198">
        <f t="shared" si="128"/>
        <v>0</v>
      </c>
      <c r="AZ41" s="198">
        <f t="shared" si="129"/>
        <v>0</v>
      </c>
      <c r="BA41" s="198">
        <f t="shared" si="130"/>
        <v>0</v>
      </c>
      <c r="BB41" s="198">
        <f t="shared" si="131"/>
        <v>0</v>
      </c>
      <c r="BC41" s="198">
        <f t="shared" si="132"/>
        <v>0</v>
      </c>
      <c r="BD41" s="200"/>
      <c r="BE41" s="200"/>
      <c r="BF41" s="200"/>
      <c r="BG41" s="198">
        <f t="shared" si="133"/>
        <v>0</v>
      </c>
      <c r="BH41" s="200"/>
      <c r="BI41" s="198">
        <f t="shared" si="134"/>
        <v>0</v>
      </c>
      <c r="BJ41" s="90">
        <f t="shared" si="4"/>
        <v>0</v>
      </c>
      <c r="BK41" s="90">
        <f t="shared" si="5"/>
        <v>0</v>
      </c>
    </row>
    <row r="42" spans="1:63">
      <c r="A42" s="370" t="s">
        <v>576</v>
      </c>
      <c r="B42" s="198">
        <f>AX42+BD42</f>
        <v>0</v>
      </c>
      <c r="C42" s="198">
        <f t="shared" si="111"/>
        <v>0</v>
      </c>
      <c r="D42" s="198">
        <f t="shared" si="111"/>
        <v>0</v>
      </c>
      <c r="E42" s="198">
        <f t="shared" si="112"/>
        <v>0</v>
      </c>
      <c r="F42" s="198">
        <f t="shared" si="113"/>
        <v>0</v>
      </c>
      <c r="G42" s="198">
        <f t="shared" si="114"/>
        <v>0</v>
      </c>
      <c r="H42" s="201"/>
      <c r="I42" s="201"/>
      <c r="J42" s="201"/>
      <c r="K42" s="198">
        <f t="shared" si="6"/>
        <v>0</v>
      </c>
      <c r="L42" s="201"/>
      <c r="M42" s="198">
        <f t="shared" si="71"/>
        <v>0</v>
      </c>
      <c r="N42" s="201"/>
      <c r="O42" s="201"/>
      <c r="P42" s="201"/>
      <c r="Q42" s="198">
        <f t="shared" si="115"/>
        <v>0</v>
      </c>
      <c r="R42" s="201"/>
      <c r="S42" s="198">
        <f t="shared" si="116"/>
        <v>0</v>
      </c>
      <c r="T42" s="201"/>
      <c r="U42" s="201"/>
      <c r="V42" s="201"/>
      <c r="W42" s="198">
        <f t="shared" si="117"/>
        <v>0</v>
      </c>
      <c r="X42" s="201"/>
      <c r="Y42" s="198">
        <f t="shared" si="118"/>
        <v>0</v>
      </c>
      <c r="Z42" s="201"/>
      <c r="AA42" s="201"/>
      <c r="AB42" s="201"/>
      <c r="AC42" s="198">
        <f t="shared" si="119"/>
        <v>0</v>
      </c>
      <c r="AD42" s="201"/>
      <c r="AE42" s="198">
        <f t="shared" si="120"/>
        <v>0</v>
      </c>
      <c r="AF42" s="201"/>
      <c r="AG42" s="201"/>
      <c r="AH42" s="201"/>
      <c r="AI42" s="198">
        <f t="shared" si="121"/>
        <v>0</v>
      </c>
      <c r="AJ42" s="201"/>
      <c r="AK42" s="198">
        <f t="shared" si="122"/>
        <v>0</v>
      </c>
      <c r="AL42" s="201"/>
      <c r="AM42" s="201"/>
      <c r="AN42" s="201"/>
      <c r="AO42" s="198">
        <f t="shared" si="123"/>
        <v>0</v>
      </c>
      <c r="AP42" s="201"/>
      <c r="AQ42" s="198">
        <f t="shared" si="124"/>
        <v>0</v>
      </c>
      <c r="AR42" s="201"/>
      <c r="AS42" s="201"/>
      <c r="AT42" s="201"/>
      <c r="AU42" s="198">
        <f t="shared" si="125"/>
        <v>0</v>
      </c>
      <c r="AV42" s="201"/>
      <c r="AW42" s="198">
        <f t="shared" si="126"/>
        <v>0</v>
      </c>
      <c r="AX42" s="198">
        <f t="shared" si="127"/>
        <v>0</v>
      </c>
      <c r="AY42" s="198">
        <f t="shared" si="128"/>
        <v>0</v>
      </c>
      <c r="AZ42" s="198">
        <f t="shared" si="129"/>
        <v>0</v>
      </c>
      <c r="BA42" s="198">
        <f t="shared" si="130"/>
        <v>0</v>
      </c>
      <c r="BB42" s="198">
        <f t="shared" si="131"/>
        <v>0</v>
      </c>
      <c r="BC42" s="198">
        <f t="shared" si="132"/>
        <v>0</v>
      </c>
      <c r="BD42" s="201"/>
      <c r="BE42" s="201"/>
      <c r="BF42" s="201"/>
      <c r="BG42" s="198">
        <f t="shared" si="133"/>
        <v>0</v>
      </c>
      <c r="BH42" s="201"/>
      <c r="BI42" s="198">
        <f t="shared" si="134"/>
        <v>0</v>
      </c>
      <c r="BJ42" s="90">
        <f t="shared" si="4"/>
        <v>0</v>
      </c>
      <c r="BK42" s="90">
        <f t="shared" si="5"/>
        <v>0</v>
      </c>
    </row>
    <row r="43" spans="1:63">
      <c r="A43" s="370" t="s">
        <v>577</v>
      </c>
      <c r="B43" s="197">
        <f t="shared" ref="B43:AG43" si="135">SUM(B44:B48)</f>
        <v>24472572.309999999</v>
      </c>
      <c r="C43" s="197">
        <f t="shared" si="135"/>
        <v>84794.58</v>
      </c>
      <c r="D43" s="197">
        <f t="shared" si="135"/>
        <v>4273056.16</v>
      </c>
      <c r="E43" s="197">
        <f t="shared" si="135"/>
        <v>28745628.470000003</v>
      </c>
      <c r="F43" s="197">
        <f t="shared" si="135"/>
        <v>0</v>
      </c>
      <c r="G43" s="197">
        <f t="shared" si="135"/>
        <v>28745628.470000003</v>
      </c>
      <c r="H43" s="197">
        <f t="shared" si="135"/>
        <v>24472572.309999999</v>
      </c>
      <c r="I43" s="197">
        <f t="shared" si="135"/>
        <v>84794.58</v>
      </c>
      <c r="J43" s="197">
        <f t="shared" si="135"/>
        <v>4273056.16</v>
      </c>
      <c r="K43" s="197">
        <f t="shared" si="135"/>
        <v>28745628.470000003</v>
      </c>
      <c r="L43" s="197">
        <f t="shared" si="135"/>
        <v>0</v>
      </c>
      <c r="M43" s="197">
        <f t="shared" si="135"/>
        <v>28745628.470000003</v>
      </c>
      <c r="N43" s="197">
        <f t="shared" si="135"/>
        <v>0</v>
      </c>
      <c r="O43" s="197">
        <f t="shared" si="135"/>
        <v>0</v>
      </c>
      <c r="P43" s="197">
        <f t="shared" si="135"/>
        <v>0</v>
      </c>
      <c r="Q43" s="197">
        <f t="shared" si="135"/>
        <v>0</v>
      </c>
      <c r="R43" s="197">
        <f t="shared" si="135"/>
        <v>0</v>
      </c>
      <c r="S43" s="197">
        <f t="shared" si="135"/>
        <v>0</v>
      </c>
      <c r="T43" s="197">
        <f t="shared" si="135"/>
        <v>0</v>
      </c>
      <c r="U43" s="197">
        <f t="shared" si="135"/>
        <v>0</v>
      </c>
      <c r="V43" s="197">
        <f t="shared" si="135"/>
        <v>0</v>
      </c>
      <c r="W43" s="197">
        <f t="shared" si="135"/>
        <v>0</v>
      </c>
      <c r="X43" s="197">
        <f t="shared" si="135"/>
        <v>0</v>
      </c>
      <c r="Y43" s="197">
        <f t="shared" si="135"/>
        <v>0</v>
      </c>
      <c r="Z43" s="197">
        <f t="shared" si="135"/>
        <v>0</v>
      </c>
      <c r="AA43" s="197">
        <f t="shared" si="135"/>
        <v>0</v>
      </c>
      <c r="AB43" s="197">
        <f t="shared" si="135"/>
        <v>0</v>
      </c>
      <c r="AC43" s="197">
        <f t="shared" si="135"/>
        <v>0</v>
      </c>
      <c r="AD43" s="197">
        <f t="shared" si="135"/>
        <v>0</v>
      </c>
      <c r="AE43" s="197">
        <f t="shared" si="135"/>
        <v>0</v>
      </c>
      <c r="AF43" s="197">
        <f t="shared" si="135"/>
        <v>0</v>
      </c>
      <c r="AG43" s="197">
        <f t="shared" si="135"/>
        <v>0</v>
      </c>
      <c r="AH43" s="197">
        <f t="shared" ref="AH43:BI43" si="136">SUM(AH44:AH48)</f>
        <v>0</v>
      </c>
      <c r="AI43" s="197">
        <f t="shared" si="136"/>
        <v>0</v>
      </c>
      <c r="AJ43" s="197">
        <f t="shared" si="136"/>
        <v>0</v>
      </c>
      <c r="AK43" s="197">
        <f t="shared" si="136"/>
        <v>0</v>
      </c>
      <c r="AL43" s="197">
        <f t="shared" si="136"/>
        <v>0</v>
      </c>
      <c r="AM43" s="197">
        <f t="shared" si="136"/>
        <v>0</v>
      </c>
      <c r="AN43" s="197">
        <f t="shared" si="136"/>
        <v>0</v>
      </c>
      <c r="AO43" s="197">
        <f t="shared" si="136"/>
        <v>0</v>
      </c>
      <c r="AP43" s="197">
        <f t="shared" si="136"/>
        <v>0</v>
      </c>
      <c r="AQ43" s="197">
        <f t="shared" si="136"/>
        <v>0</v>
      </c>
      <c r="AR43" s="197">
        <f t="shared" si="136"/>
        <v>0</v>
      </c>
      <c r="AS43" s="197">
        <f t="shared" si="136"/>
        <v>0</v>
      </c>
      <c r="AT43" s="197">
        <f t="shared" si="136"/>
        <v>0</v>
      </c>
      <c r="AU43" s="197">
        <f t="shared" si="136"/>
        <v>0</v>
      </c>
      <c r="AV43" s="197">
        <f t="shared" si="136"/>
        <v>0</v>
      </c>
      <c r="AW43" s="197">
        <f t="shared" si="136"/>
        <v>0</v>
      </c>
      <c r="AX43" s="197">
        <f t="shared" si="136"/>
        <v>24472572.309999999</v>
      </c>
      <c r="AY43" s="197">
        <f t="shared" si="136"/>
        <v>84794.58</v>
      </c>
      <c r="AZ43" s="197">
        <f t="shared" si="136"/>
        <v>4273056.16</v>
      </c>
      <c r="BA43" s="197">
        <f t="shared" si="136"/>
        <v>28745628.470000003</v>
      </c>
      <c r="BB43" s="197">
        <f t="shared" si="136"/>
        <v>0</v>
      </c>
      <c r="BC43" s="197">
        <f t="shared" si="136"/>
        <v>28745628.470000003</v>
      </c>
      <c r="BD43" s="197">
        <f t="shared" si="136"/>
        <v>0</v>
      </c>
      <c r="BE43" s="197">
        <f t="shared" si="136"/>
        <v>0</v>
      </c>
      <c r="BF43" s="197">
        <f t="shared" si="136"/>
        <v>0</v>
      </c>
      <c r="BG43" s="197">
        <f t="shared" si="136"/>
        <v>0</v>
      </c>
      <c r="BH43" s="197">
        <f t="shared" si="136"/>
        <v>0</v>
      </c>
      <c r="BI43" s="197">
        <f t="shared" si="136"/>
        <v>0</v>
      </c>
      <c r="BJ43" s="90">
        <f t="shared" si="4"/>
        <v>0</v>
      </c>
      <c r="BK43" s="90">
        <f t="shared" si="5"/>
        <v>0</v>
      </c>
    </row>
    <row r="44" spans="1:63" outlineLevel="1">
      <c r="A44" s="371" t="s">
        <v>578</v>
      </c>
      <c r="B44" s="198">
        <f t="shared" ref="B44:D48" si="137">AX44+BD44</f>
        <v>1883787.4</v>
      </c>
      <c r="C44" s="198">
        <f t="shared" si="137"/>
        <v>974.09</v>
      </c>
      <c r="D44" s="198">
        <f>AZ44+BF44</f>
        <v>169368.99</v>
      </c>
      <c r="E44" s="198">
        <f t="shared" ref="E44:E48" si="138">B44+D44</f>
        <v>2053156.39</v>
      </c>
      <c r="F44" s="198">
        <f t="shared" ref="F44:F48" si="139">BB44+BH44</f>
        <v>0</v>
      </c>
      <c r="G44" s="198">
        <f t="shared" ref="G44:G48" si="140">E44-F44</f>
        <v>2053156.39</v>
      </c>
      <c r="H44" s="199">
        <v>1883787.4</v>
      </c>
      <c r="I44" s="199">
        <v>974.09</v>
      </c>
      <c r="J44" s="199">
        <f>168394.9+I44</f>
        <v>169368.99</v>
      </c>
      <c r="K44" s="198">
        <f>H44+J44</f>
        <v>2053156.39</v>
      </c>
      <c r="L44" s="199"/>
      <c r="M44" s="198">
        <f t="shared" si="71"/>
        <v>2053156.39</v>
      </c>
      <c r="N44" s="199"/>
      <c r="O44" s="199"/>
      <c r="P44" s="199"/>
      <c r="Q44" s="198">
        <f t="shared" ref="Q44:Q48" si="141">N44+P44</f>
        <v>0</v>
      </c>
      <c r="R44" s="199"/>
      <c r="S44" s="198">
        <f t="shared" ref="S44:S48" si="142">Q44-R44</f>
        <v>0</v>
      </c>
      <c r="T44" s="199"/>
      <c r="U44" s="199"/>
      <c r="V44" s="199"/>
      <c r="W44" s="198">
        <f t="shared" ref="W44:W48" si="143">T44+V44</f>
        <v>0</v>
      </c>
      <c r="X44" s="199"/>
      <c r="Y44" s="198">
        <f t="shared" ref="Y44:Y48" si="144">W44-X44</f>
        <v>0</v>
      </c>
      <c r="Z44" s="199"/>
      <c r="AA44" s="199"/>
      <c r="AB44" s="199"/>
      <c r="AC44" s="198">
        <f t="shared" ref="AC44:AC48" si="145">Z44+AB44</f>
        <v>0</v>
      </c>
      <c r="AD44" s="199"/>
      <c r="AE44" s="198">
        <f t="shared" ref="AE44:AE48" si="146">AC44-AD44</f>
        <v>0</v>
      </c>
      <c r="AF44" s="199"/>
      <c r="AG44" s="199"/>
      <c r="AH44" s="199"/>
      <c r="AI44" s="198">
        <f t="shared" ref="AI44:AI48" si="147">AF44+AH44</f>
        <v>0</v>
      </c>
      <c r="AJ44" s="199"/>
      <c r="AK44" s="198">
        <f t="shared" ref="AK44:AK48" si="148">AI44-AJ44</f>
        <v>0</v>
      </c>
      <c r="AL44" s="199"/>
      <c r="AM44" s="199"/>
      <c r="AN44" s="199"/>
      <c r="AO44" s="198">
        <f t="shared" ref="AO44:AO48" si="149">AL44+AN44</f>
        <v>0</v>
      </c>
      <c r="AP44" s="199"/>
      <c r="AQ44" s="198">
        <f t="shared" ref="AQ44:AQ48" si="150">AO44-AP44</f>
        <v>0</v>
      </c>
      <c r="AR44" s="199"/>
      <c r="AS44" s="199"/>
      <c r="AT44" s="199"/>
      <c r="AU44" s="198">
        <f t="shared" ref="AU44:AU48" si="151">AR44+AT44</f>
        <v>0</v>
      </c>
      <c r="AV44" s="199"/>
      <c r="AW44" s="198">
        <f t="shared" ref="AW44:AW48" si="152">AU44-AV44</f>
        <v>0</v>
      </c>
      <c r="AX44" s="198">
        <f t="shared" ref="AX44:AX48" si="153">SUMIF($H$6:$AW$6,"年初累计发生额",H44:AW44)</f>
        <v>1883787.4</v>
      </c>
      <c r="AY44" s="198">
        <f t="shared" ref="AY44:AY48" si="154">SUMIF($H$6:$AW$6,"本月发生额",H44:AW44)</f>
        <v>974.09</v>
      </c>
      <c r="AZ44" s="198">
        <f t="shared" ref="AZ44:AZ48" si="155">SUMIF($H$6:$AW$6,"本年发生额",H44:AW44)</f>
        <v>169368.99</v>
      </c>
      <c r="BA44" s="198">
        <f t="shared" ref="BA44:BA48" si="156">SUMIF($H$6:$AW$6,"自开工累计发生额",H44:AW44)</f>
        <v>2053156.39</v>
      </c>
      <c r="BB44" s="198">
        <f t="shared" ref="BB44:BB48" si="157">SUMIF($H$6:$AW$6,"结转开发成本累计金额",H44:AW44)</f>
        <v>0</v>
      </c>
      <c r="BC44" s="198">
        <f t="shared" ref="BC44:BC48" si="158">SUMIF($H$6:$AW$6,"开发成本期末余额",H44:AW44)</f>
        <v>2053156.39</v>
      </c>
      <c r="BD44" s="199"/>
      <c r="BE44" s="199"/>
      <c r="BF44" s="199"/>
      <c r="BG44" s="198">
        <f t="shared" ref="BG44:BG48" si="159">BD44+BF44</f>
        <v>0</v>
      </c>
      <c r="BH44" s="199"/>
      <c r="BI44" s="198">
        <f t="shared" ref="BI44:BI48" si="160">BG44-BH44</f>
        <v>0</v>
      </c>
      <c r="BJ44" s="90">
        <f t="shared" si="4"/>
        <v>0</v>
      </c>
      <c r="BK44" s="90">
        <f t="shared" si="5"/>
        <v>0</v>
      </c>
    </row>
    <row r="45" spans="1:63" outlineLevel="1">
      <c r="A45" s="371" t="s">
        <v>579</v>
      </c>
      <c r="B45" s="198">
        <f t="shared" si="137"/>
        <v>0</v>
      </c>
      <c r="C45" s="198">
        <f t="shared" si="137"/>
        <v>0</v>
      </c>
      <c r="D45" s="198">
        <f t="shared" si="137"/>
        <v>0</v>
      </c>
      <c r="E45" s="198">
        <f t="shared" si="138"/>
        <v>0</v>
      </c>
      <c r="F45" s="198">
        <f t="shared" si="139"/>
        <v>0</v>
      </c>
      <c r="G45" s="198">
        <f t="shared" si="140"/>
        <v>0</v>
      </c>
      <c r="H45" s="199">
        <v>0</v>
      </c>
      <c r="I45" s="199"/>
      <c r="J45" s="199"/>
      <c r="K45" s="198">
        <f t="shared" si="6"/>
        <v>0</v>
      </c>
      <c r="L45" s="199"/>
      <c r="M45" s="198">
        <f t="shared" si="71"/>
        <v>0</v>
      </c>
      <c r="N45" s="199"/>
      <c r="O45" s="199"/>
      <c r="P45" s="199"/>
      <c r="Q45" s="198">
        <f t="shared" si="141"/>
        <v>0</v>
      </c>
      <c r="R45" s="199"/>
      <c r="S45" s="198">
        <f t="shared" si="142"/>
        <v>0</v>
      </c>
      <c r="T45" s="199"/>
      <c r="U45" s="199"/>
      <c r="V45" s="199"/>
      <c r="W45" s="198">
        <f t="shared" si="143"/>
        <v>0</v>
      </c>
      <c r="X45" s="199"/>
      <c r="Y45" s="198">
        <f t="shared" si="144"/>
        <v>0</v>
      </c>
      <c r="Z45" s="199"/>
      <c r="AA45" s="199"/>
      <c r="AB45" s="199"/>
      <c r="AC45" s="198">
        <f t="shared" si="145"/>
        <v>0</v>
      </c>
      <c r="AD45" s="199"/>
      <c r="AE45" s="198">
        <f t="shared" si="146"/>
        <v>0</v>
      </c>
      <c r="AF45" s="199"/>
      <c r="AG45" s="199"/>
      <c r="AH45" s="199"/>
      <c r="AI45" s="198">
        <f t="shared" si="147"/>
        <v>0</v>
      </c>
      <c r="AJ45" s="199"/>
      <c r="AK45" s="198">
        <f t="shared" si="148"/>
        <v>0</v>
      </c>
      <c r="AL45" s="199"/>
      <c r="AM45" s="199"/>
      <c r="AN45" s="199"/>
      <c r="AO45" s="198">
        <f t="shared" si="149"/>
        <v>0</v>
      </c>
      <c r="AP45" s="199"/>
      <c r="AQ45" s="198">
        <f t="shared" si="150"/>
        <v>0</v>
      </c>
      <c r="AR45" s="199"/>
      <c r="AS45" s="199"/>
      <c r="AT45" s="199"/>
      <c r="AU45" s="198">
        <f t="shared" si="151"/>
        <v>0</v>
      </c>
      <c r="AV45" s="199"/>
      <c r="AW45" s="198">
        <f t="shared" si="152"/>
        <v>0</v>
      </c>
      <c r="AX45" s="198">
        <f t="shared" si="153"/>
        <v>0</v>
      </c>
      <c r="AY45" s="198">
        <f t="shared" si="154"/>
        <v>0</v>
      </c>
      <c r="AZ45" s="198">
        <f t="shared" si="155"/>
        <v>0</v>
      </c>
      <c r="BA45" s="198">
        <f t="shared" si="156"/>
        <v>0</v>
      </c>
      <c r="BB45" s="198">
        <f t="shared" si="157"/>
        <v>0</v>
      </c>
      <c r="BC45" s="198">
        <f t="shared" si="158"/>
        <v>0</v>
      </c>
      <c r="BD45" s="199"/>
      <c r="BE45" s="199"/>
      <c r="BF45" s="199"/>
      <c r="BG45" s="198">
        <f t="shared" si="159"/>
        <v>0</v>
      </c>
      <c r="BH45" s="199"/>
      <c r="BI45" s="198">
        <f t="shared" si="160"/>
        <v>0</v>
      </c>
      <c r="BJ45" s="90">
        <f t="shared" si="4"/>
        <v>0</v>
      </c>
      <c r="BK45" s="90">
        <f t="shared" si="5"/>
        <v>0</v>
      </c>
    </row>
    <row r="46" spans="1:63" outlineLevel="1">
      <c r="A46" s="371" t="s">
        <v>580</v>
      </c>
      <c r="B46" s="198">
        <f t="shared" si="137"/>
        <v>22496353.690000001</v>
      </c>
      <c r="C46" s="198">
        <f t="shared" si="137"/>
        <v>82877.279999999999</v>
      </c>
      <c r="D46" s="198">
        <f t="shared" si="137"/>
        <v>4085465.94</v>
      </c>
      <c r="E46" s="198">
        <f t="shared" si="138"/>
        <v>26581819.630000003</v>
      </c>
      <c r="F46" s="198">
        <f t="shared" si="139"/>
        <v>0</v>
      </c>
      <c r="G46" s="198">
        <f t="shared" si="140"/>
        <v>26581819.630000003</v>
      </c>
      <c r="H46" s="199">
        <v>22496353.690000001</v>
      </c>
      <c r="I46" s="199">
        <v>82877.279999999999</v>
      </c>
      <c r="J46" s="199">
        <f>4002588.66+I46</f>
        <v>4085465.94</v>
      </c>
      <c r="K46" s="198">
        <f t="shared" si="6"/>
        <v>26581819.630000003</v>
      </c>
      <c r="L46" s="199"/>
      <c r="M46" s="198">
        <f t="shared" si="71"/>
        <v>26581819.630000003</v>
      </c>
      <c r="N46" s="199"/>
      <c r="O46" s="199"/>
      <c r="P46" s="199"/>
      <c r="Q46" s="198">
        <f t="shared" si="141"/>
        <v>0</v>
      </c>
      <c r="R46" s="199"/>
      <c r="S46" s="198">
        <f t="shared" si="142"/>
        <v>0</v>
      </c>
      <c r="T46" s="199"/>
      <c r="U46" s="199"/>
      <c r="V46" s="199"/>
      <c r="W46" s="198">
        <f t="shared" si="143"/>
        <v>0</v>
      </c>
      <c r="X46" s="199"/>
      <c r="Y46" s="198">
        <f t="shared" si="144"/>
        <v>0</v>
      </c>
      <c r="Z46" s="199"/>
      <c r="AA46" s="199"/>
      <c r="AB46" s="199"/>
      <c r="AC46" s="198">
        <f t="shared" si="145"/>
        <v>0</v>
      </c>
      <c r="AD46" s="199"/>
      <c r="AE46" s="198">
        <f t="shared" si="146"/>
        <v>0</v>
      </c>
      <c r="AF46" s="199"/>
      <c r="AG46" s="199"/>
      <c r="AH46" s="199"/>
      <c r="AI46" s="198">
        <f t="shared" si="147"/>
        <v>0</v>
      </c>
      <c r="AJ46" s="199"/>
      <c r="AK46" s="198">
        <f t="shared" si="148"/>
        <v>0</v>
      </c>
      <c r="AL46" s="199"/>
      <c r="AM46" s="199"/>
      <c r="AN46" s="199"/>
      <c r="AO46" s="198">
        <f t="shared" si="149"/>
        <v>0</v>
      </c>
      <c r="AP46" s="199"/>
      <c r="AQ46" s="198">
        <f t="shared" si="150"/>
        <v>0</v>
      </c>
      <c r="AR46" s="199"/>
      <c r="AS46" s="199"/>
      <c r="AT46" s="199"/>
      <c r="AU46" s="198">
        <f t="shared" si="151"/>
        <v>0</v>
      </c>
      <c r="AV46" s="199"/>
      <c r="AW46" s="198">
        <f t="shared" si="152"/>
        <v>0</v>
      </c>
      <c r="AX46" s="198">
        <f t="shared" si="153"/>
        <v>22496353.690000001</v>
      </c>
      <c r="AY46" s="198">
        <f t="shared" si="154"/>
        <v>82877.279999999999</v>
      </c>
      <c r="AZ46" s="198">
        <f t="shared" si="155"/>
        <v>4085465.94</v>
      </c>
      <c r="BA46" s="198">
        <f t="shared" si="156"/>
        <v>26581819.630000003</v>
      </c>
      <c r="BB46" s="198">
        <f t="shared" si="157"/>
        <v>0</v>
      </c>
      <c r="BC46" s="198">
        <f t="shared" si="158"/>
        <v>26581819.630000003</v>
      </c>
      <c r="BD46" s="199"/>
      <c r="BE46" s="199"/>
      <c r="BF46" s="199"/>
      <c r="BG46" s="198">
        <f t="shared" si="159"/>
        <v>0</v>
      </c>
      <c r="BH46" s="199"/>
      <c r="BI46" s="198">
        <f t="shared" si="160"/>
        <v>0</v>
      </c>
      <c r="BJ46" s="90">
        <f t="shared" si="4"/>
        <v>0</v>
      </c>
      <c r="BK46" s="90">
        <f t="shared" si="5"/>
        <v>0</v>
      </c>
    </row>
    <row r="47" spans="1:63" outlineLevel="1">
      <c r="A47" s="371" t="s">
        <v>581</v>
      </c>
      <c r="B47" s="198">
        <f t="shared" si="137"/>
        <v>92431.22</v>
      </c>
      <c r="C47" s="198">
        <f t="shared" si="137"/>
        <v>943.21</v>
      </c>
      <c r="D47" s="198">
        <f t="shared" si="137"/>
        <v>18221.23</v>
      </c>
      <c r="E47" s="198">
        <f t="shared" si="138"/>
        <v>110652.45</v>
      </c>
      <c r="F47" s="198">
        <f t="shared" si="139"/>
        <v>0</v>
      </c>
      <c r="G47" s="198">
        <f t="shared" si="140"/>
        <v>110652.45</v>
      </c>
      <c r="H47" s="199">
        <v>92431.22</v>
      </c>
      <c r="I47" s="199">
        <v>943.21</v>
      </c>
      <c r="J47" s="199">
        <f>17278.02+I47</f>
        <v>18221.23</v>
      </c>
      <c r="K47" s="198">
        <f t="shared" si="6"/>
        <v>110652.45</v>
      </c>
      <c r="L47" s="199"/>
      <c r="M47" s="198">
        <f t="shared" si="71"/>
        <v>110652.45</v>
      </c>
      <c r="N47" s="199"/>
      <c r="O47" s="199"/>
      <c r="P47" s="199"/>
      <c r="Q47" s="198">
        <f t="shared" si="141"/>
        <v>0</v>
      </c>
      <c r="R47" s="199"/>
      <c r="S47" s="198">
        <f t="shared" si="142"/>
        <v>0</v>
      </c>
      <c r="T47" s="199"/>
      <c r="U47" s="199"/>
      <c r="V47" s="199"/>
      <c r="W47" s="198">
        <f t="shared" si="143"/>
        <v>0</v>
      </c>
      <c r="X47" s="199"/>
      <c r="Y47" s="198">
        <f t="shared" si="144"/>
        <v>0</v>
      </c>
      <c r="Z47" s="199"/>
      <c r="AA47" s="199"/>
      <c r="AB47" s="199"/>
      <c r="AC47" s="198">
        <f t="shared" si="145"/>
        <v>0</v>
      </c>
      <c r="AD47" s="199"/>
      <c r="AE47" s="198">
        <f t="shared" si="146"/>
        <v>0</v>
      </c>
      <c r="AF47" s="199"/>
      <c r="AG47" s="199"/>
      <c r="AH47" s="199"/>
      <c r="AI47" s="198">
        <f t="shared" si="147"/>
        <v>0</v>
      </c>
      <c r="AJ47" s="199"/>
      <c r="AK47" s="198">
        <f t="shared" si="148"/>
        <v>0</v>
      </c>
      <c r="AL47" s="199"/>
      <c r="AM47" s="199"/>
      <c r="AN47" s="199"/>
      <c r="AO47" s="198">
        <f t="shared" si="149"/>
        <v>0</v>
      </c>
      <c r="AP47" s="199"/>
      <c r="AQ47" s="198">
        <f t="shared" si="150"/>
        <v>0</v>
      </c>
      <c r="AR47" s="199"/>
      <c r="AS47" s="199"/>
      <c r="AT47" s="199"/>
      <c r="AU47" s="198">
        <f t="shared" si="151"/>
        <v>0</v>
      </c>
      <c r="AV47" s="199"/>
      <c r="AW47" s="198">
        <f t="shared" si="152"/>
        <v>0</v>
      </c>
      <c r="AX47" s="198">
        <f t="shared" si="153"/>
        <v>92431.22</v>
      </c>
      <c r="AY47" s="198">
        <f t="shared" si="154"/>
        <v>943.21</v>
      </c>
      <c r="AZ47" s="198">
        <f t="shared" si="155"/>
        <v>18221.23</v>
      </c>
      <c r="BA47" s="198">
        <f t="shared" si="156"/>
        <v>110652.45</v>
      </c>
      <c r="BB47" s="198">
        <f t="shared" si="157"/>
        <v>0</v>
      </c>
      <c r="BC47" s="198">
        <f t="shared" si="158"/>
        <v>110652.45</v>
      </c>
      <c r="BD47" s="199"/>
      <c r="BE47" s="199"/>
      <c r="BF47" s="199"/>
      <c r="BG47" s="198">
        <f t="shared" si="159"/>
        <v>0</v>
      </c>
      <c r="BH47" s="199"/>
      <c r="BI47" s="198">
        <f t="shared" si="160"/>
        <v>0</v>
      </c>
      <c r="BJ47" s="90">
        <f t="shared" si="4"/>
        <v>0</v>
      </c>
      <c r="BK47" s="90">
        <f t="shared" si="5"/>
        <v>0</v>
      </c>
    </row>
    <row r="48" spans="1:63" outlineLevel="1">
      <c r="A48" s="371" t="s">
        <v>582</v>
      </c>
      <c r="B48" s="198">
        <f t="shared" si="137"/>
        <v>0</v>
      </c>
      <c r="C48" s="198">
        <f t="shared" si="137"/>
        <v>0</v>
      </c>
      <c r="D48" s="198">
        <f t="shared" si="137"/>
        <v>0</v>
      </c>
      <c r="E48" s="198">
        <f t="shared" si="138"/>
        <v>0</v>
      </c>
      <c r="F48" s="198">
        <f t="shared" si="139"/>
        <v>0</v>
      </c>
      <c r="G48" s="198">
        <f t="shared" si="140"/>
        <v>0</v>
      </c>
      <c r="H48" s="199">
        <v>0</v>
      </c>
      <c r="I48" s="199"/>
      <c r="J48" s="199"/>
      <c r="K48" s="198">
        <f t="shared" si="6"/>
        <v>0</v>
      </c>
      <c r="L48" s="199"/>
      <c r="M48" s="198">
        <f t="shared" si="71"/>
        <v>0</v>
      </c>
      <c r="N48" s="199"/>
      <c r="O48" s="199"/>
      <c r="P48" s="199"/>
      <c r="Q48" s="198">
        <f t="shared" si="141"/>
        <v>0</v>
      </c>
      <c r="R48" s="199"/>
      <c r="S48" s="198">
        <f t="shared" si="142"/>
        <v>0</v>
      </c>
      <c r="T48" s="199"/>
      <c r="U48" s="199"/>
      <c r="V48" s="199"/>
      <c r="W48" s="198">
        <f t="shared" si="143"/>
        <v>0</v>
      </c>
      <c r="X48" s="199"/>
      <c r="Y48" s="198">
        <f t="shared" si="144"/>
        <v>0</v>
      </c>
      <c r="Z48" s="199"/>
      <c r="AA48" s="199"/>
      <c r="AB48" s="199"/>
      <c r="AC48" s="198">
        <f t="shared" si="145"/>
        <v>0</v>
      </c>
      <c r="AD48" s="199"/>
      <c r="AE48" s="198">
        <f t="shared" si="146"/>
        <v>0</v>
      </c>
      <c r="AF48" s="199"/>
      <c r="AG48" s="199"/>
      <c r="AH48" s="199"/>
      <c r="AI48" s="198">
        <f t="shared" si="147"/>
        <v>0</v>
      </c>
      <c r="AJ48" s="199"/>
      <c r="AK48" s="198">
        <f t="shared" si="148"/>
        <v>0</v>
      </c>
      <c r="AL48" s="199"/>
      <c r="AM48" s="199"/>
      <c r="AN48" s="199"/>
      <c r="AO48" s="198">
        <f t="shared" si="149"/>
        <v>0</v>
      </c>
      <c r="AP48" s="199"/>
      <c r="AQ48" s="198">
        <f t="shared" si="150"/>
        <v>0</v>
      </c>
      <c r="AR48" s="199"/>
      <c r="AS48" s="199"/>
      <c r="AT48" s="199"/>
      <c r="AU48" s="198">
        <f t="shared" si="151"/>
        <v>0</v>
      </c>
      <c r="AV48" s="199"/>
      <c r="AW48" s="198">
        <f t="shared" si="152"/>
        <v>0</v>
      </c>
      <c r="AX48" s="198">
        <f t="shared" si="153"/>
        <v>0</v>
      </c>
      <c r="AY48" s="198">
        <f t="shared" si="154"/>
        <v>0</v>
      </c>
      <c r="AZ48" s="198">
        <f t="shared" si="155"/>
        <v>0</v>
      </c>
      <c r="BA48" s="198">
        <f t="shared" si="156"/>
        <v>0</v>
      </c>
      <c r="BB48" s="198">
        <f t="shared" si="157"/>
        <v>0</v>
      </c>
      <c r="BC48" s="198">
        <f t="shared" si="158"/>
        <v>0</v>
      </c>
      <c r="BD48" s="199"/>
      <c r="BE48" s="199"/>
      <c r="BF48" s="199"/>
      <c r="BG48" s="198">
        <f t="shared" si="159"/>
        <v>0</v>
      </c>
      <c r="BH48" s="199"/>
      <c r="BI48" s="198">
        <f t="shared" si="160"/>
        <v>0</v>
      </c>
      <c r="BJ48" s="90">
        <f t="shared" si="4"/>
        <v>0</v>
      </c>
      <c r="BK48" s="90">
        <f t="shared" si="5"/>
        <v>0</v>
      </c>
    </row>
    <row r="49" spans="1:63">
      <c r="A49" s="370" t="s">
        <v>583</v>
      </c>
      <c r="B49" s="197">
        <f t="shared" ref="B49:AG49" si="161">SUM(B50:B52)</f>
        <v>44036742.059999995</v>
      </c>
      <c r="C49" s="197">
        <f t="shared" si="161"/>
        <v>13628304.439999999</v>
      </c>
      <c r="D49" s="197">
        <f t="shared" si="161"/>
        <v>52240524.239999995</v>
      </c>
      <c r="E49" s="197">
        <f t="shared" si="161"/>
        <v>96277266.299999982</v>
      </c>
      <c r="F49" s="197">
        <f t="shared" si="161"/>
        <v>0</v>
      </c>
      <c r="G49" s="197">
        <f t="shared" si="161"/>
        <v>96277266.299999982</v>
      </c>
      <c r="H49" s="197">
        <f t="shared" si="161"/>
        <v>44036742.059999995</v>
      </c>
      <c r="I49" s="197">
        <f t="shared" si="161"/>
        <v>13628304.439999999</v>
      </c>
      <c r="J49" s="197">
        <f t="shared" si="161"/>
        <v>52240524.239999995</v>
      </c>
      <c r="K49" s="197">
        <f t="shared" si="161"/>
        <v>96277266.299999982</v>
      </c>
      <c r="L49" s="197">
        <f t="shared" si="161"/>
        <v>0</v>
      </c>
      <c r="M49" s="197">
        <f t="shared" si="161"/>
        <v>96277266.299999982</v>
      </c>
      <c r="N49" s="197">
        <f t="shared" si="161"/>
        <v>0</v>
      </c>
      <c r="O49" s="197">
        <f t="shared" si="161"/>
        <v>0</v>
      </c>
      <c r="P49" s="197">
        <f t="shared" si="161"/>
        <v>0</v>
      </c>
      <c r="Q49" s="197">
        <f t="shared" si="161"/>
        <v>0</v>
      </c>
      <c r="R49" s="197">
        <f t="shared" si="161"/>
        <v>0</v>
      </c>
      <c r="S49" s="197">
        <f t="shared" si="161"/>
        <v>0</v>
      </c>
      <c r="T49" s="197">
        <f t="shared" si="161"/>
        <v>0</v>
      </c>
      <c r="U49" s="197">
        <f t="shared" si="161"/>
        <v>0</v>
      </c>
      <c r="V49" s="197">
        <f t="shared" si="161"/>
        <v>0</v>
      </c>
      <c r="W49" s="197">
        <f t="shared" si="161"/>
        <v>0</v>
      </c>
      <c r="X49" s="197">
        <f t="shared" si="161"/>
        <v>0</v>
      </c>
      <c r="Y49" s="197">
        <f t="shared" si="161"/>
        <v>0</v>
      </c>
      <c r="Z49" s="197">
        <f t="shared" si="161"/>
        <v>0</v>
      </c>
      <c r="AA49" s="197">
        <f t="shared" si="161"/>
        <v>0</v>
      </c>
      <c r="AB49" s="197">
        <f t="shared" si="161"/>
        <v>0</v>
      </c>
      <c r="AC49" s="197">
        <f t="shared" si="161"/>
        <v>0</v>
      </c>
      <c r="AD49" s="197">
        <f t="shared" si="161"/>
        <v>0</v>
      </c>
      <c r="AE49" s="197">
        <f t="shared" si="161"/>
        <v>0</v>
      </c>
      <c r="AF49" s="197">
        <f t="shared" si="161"/>
        <v>0</v>
      </c>
      <c r="AG49" s="197">
        <f t="shared" si="161"/>
        <v>0</v>
      </c>
      <c r="AH49" s="197">
        <f t="shared" ref="AH49:BI49" si="162">SUM(AH50:AH52)</f>
        <v>0</v>
      </c>
      <c r="AI49" s="197">
        <f t="shared" si="162"/>
        <v>0</v>
      </c>
      <c r="AJ49" s="197">
        <f t="shared" si="162"/>
        <v>0</v>
      </c>
      <c r="AK49" s="197">
        <f t="shared" si="162"/>
        <v>0</v>
      </c>
      <c r="AL49" s="197">
        <f t="shared" si="162"/>
        <v>0</v>
      </c>
      <c r="AM49" s="197">
        <f t="shared" si="162"/>
        <v>0</v>
      </c>
      <c r="AN49" s="197">
        <f t="shared" si="162"/>
        <v>0</v>
      </c>
      <c r="AO49" s="197">
        <f t="shared" si="162"/>
        <v>0</v>
      </c>
      <c r="AP49" s="197">
        <f t="shared" si="162"/>
        <v>0</v>
      </c>
      <c r="AQ49" s="197">
        <f t="shared" si="162"/>
        <v>0</v>
      </c>
      <c r="AR49" s="197">
        <f t="shared" si="162"/>
        <v>0</v>
      </c>
      <c r="AS49" s="197">
        <f t="shared" si="162"/>
        <v>0</v>
      </c>
      <c r="AT49" s="197">
        <f t="shared" si="162"/>
        <v>0</v>
      </c>
      <c r="AU49" s="197">
        <f t="shared" si="162"/>
        <v>0</v>
      </c>
      <c r="AV49" s="197">
        <f t="shared" si="162"/>
        <v>0</v>
      </c>
      <c r="AW49" s="197">
        <f t="shared" si="162"/>
        <v>0</v>
      </c>
      <c r="AX49" s="197">
        <f t="shared" si="162"/>
        <v>44036742.059999995</v>
      </c>
      <c r="AY49" s="197">
        <f t="shared" si="162"/>
        <v>13628304.439999999</v>
      </c>
      <c r="AZ49" s="197">
        <f t="shared" si="162"/>
        <v>52240524.239999995</v>
      </c>
      <c r="BA49" s="197">
        <f t="shared" si="162"/>
        <v>96277266.299999982</v>
      </c>
      <c r="BB49" s="197">
        <f t="shared" si="162"/>
        <v>0</v>
      </c>
      <c r="BC49" s="197">
        <f t="shared" si="162"/>
        <v>96277266.299999982</v>
      </c>
      <c r="BD49" s="197">
        <f t="shared" si="162"/>
        <v>0</v>
      </c>
      <c r="BE49" s="197">
        <f t="shared" si="162"/>
        <v>0</v>
      </c>
      <c r="BF49" s="197">
        <f t="shared" si="162"/>
        <v>0</v>
      </c>
      <c r="BG49" s="197">
        <f t="shared" si="162"/>
        <v>0</v>
      </c>
      <c r="BH49" s="197">
        <f t="shared" si="162"/>
        <v>0</v>
      </c>
      <c r="BI49" s="197">
        <f t="shared" si="162"/>
        <v>0</v>
      </c>
      <c r="BJ49" s="90">
        <f t="shared" si="4"/>
        <v>0</v>
      </c>
      <c r="BK49" s="90">
        <f t="shared" si="5"/>
        <v>0</v>
      </c>
    </row>
    <row r="50" spans="1:63" outlineLevel="1">
      <c r="A50" s="371" t="s">
        <v>584</v>
      </c>
      <c r="B50" s="198">
        <f t="shared" ref="B50:D52" si="163">AX50+BD50</f>
        <v>44036742.059999995</v>
      </c>
      <c r="C50" s="198">
        <f t="shared" si="163"/>
        <v>13628304.439999999</v>
      </c>
      <c r="D50" s="198">
        <f t="shared" si="163"/>
        <v>52240524.239999995</v>
      </c>
      <c r="E50" s="198">
        <f>B50+D50</f>
        <v>96277266.299999982</v>
      </c>
      <c r="F50" s="198">
        <f>BB50+BH50</f>
        <v>0</v>
      </c>
      <c r="G50" s="198">
        <f>E50-F50</f>
        <v>96277266.299999982</v>
      </c>
      <c r="H50" s="199">
        <v>44036742.059999995</v>
      </c>
      <c r="I50" s="199">
        <v>13628304.439999999</v>
      </c>
      <c r="J50" s="199">
        <f>38612219.8+I50</f>
        <v>52240524.239999995</v>
      </c>
      <c r="K50" s="198">
        <f t="shared" si="6"/>
        <v>96277266.299999982</v>
      </c>
      <c r="L50" s="199"/>
      <c r="M50" s="198">
        <f t="shared" si="71"/>
        <v>96277266.299999982</v>
      </c>
      <c r="N50" s="199"/>
      <c r="O50" s="199"/>
      <c r="P50" s="199"/>
      <c r="Q50" s="198">
        <f>N50+P50</f>
        <v>0</v>
      </c>
      <c r="R50" s="199"/>
      <c r="S50" s="198">
        <f>Q50-R50</f>
        <v>0</v>
      </c>
      <c r="T50" s="199"/>
      <c r="U50" s="199"/>
      <c r="V50" s="199"/>
      <c r="W50" s="198">
        <f>T50+V50</f>
        <v>0</v>
      </c>
      <c r="X50" s="199"/>
      <c r="Y50" s="198">
        <f>W50-X50</f>
        <v>0</v>
      </c>
      <c r="Z50" s="199"/>
      <c r="AA50" s="199"/>
      <c r="AB50" s="199"/>
      <c r="AC50" s="198">
        <f>Z50+AB50</f>
        <v>0</v>
      </c>
      <c r="AD50" s="199"/>
      <c r="AE50" s="198">
        <f>AC50-AD50</f>
        <v>0</v>
      </c>
      <c r="AF50" s="199"/>
      <c r="AG50" s="199"/>
      <c r="AH50" s="199"/>
      <c r="AI50" s="198">
        <f>AF50+AH50</f>
        <v>0</v>
      </c>
      <c r="AJ50" s="199"/>
      <c r="AK50" s="198">
        <f>AI50-AJ50</f>
        <v>0</v>
      </c>
      <c r="AL50" s="199"/>
      <c r="AM50" s="199"/>
      <c r="AN50" s="199"/>
      <c r="AO50" s="198">
        <f>AL50+AN50</f>
        <v>0</v>
      </c>
      <c r="AP50" s="199"/>
      <c r="AQ50" s="198">
        <f>AO50-AP50</f>
        <v>0</v>
      </c>
      <c r="AR50" s="199"/>
      <c r="AS50" s="199"/>
      <c r="AT50" s="199"/>
      <c r="AU50" s="198">
        <f>AR50+AT50</f>
        <v>0</v>
      </c>
      <c r="AV50" s="199"/>
      <c r="AW50" s="198">
        <f>AU50-AV50</f>
        <v>0</v>
      </c>
      <c r="AX50" s="198">
        <f>SUMIF($H$6:$AW$6,"年初累计发生额",H50:AW50)</f>
        <v>44036742.059999995</v>
      </c>
      <c r="AY50" s="198">
        <f>SUMIF($H$6:$AW$6,"本月发生额",H50:AW50)</f>
        <v>13628304.439999999</v>
      </c>
      <c r="AZ50" s="198">
        <f>SUMIF($H$6:$AW$6,"本年发生额",H50:AW50)</f>
        <v>52240524.239999995</v>
      </c>
      <c r="BA50" s="198">
        <f>SUMIF($H$6:$AW$6,"自开工累计发生额",H50:AW50)</f>
        <v>96277266.299999982</v>
      </c>
      <c r="BB50" s="198">
        <f>SUMIF($H$6:$AW$6,"结转开发成本累计金额",H50:AW50)</f>
        <v>0</v>
      </c>
      <c r="BC50" s="198">
        <f>SUMIF($H$6:$AW$6,"开发成本期末余额",H50:AW50)</f>
        <v>96277266.299999982</v>
      </c>
      <c r="BD50" s="199"/>
      <c r="BE50" s="199"/>
      <c r="BF50" s="199"/>
      <c r="BG50" s="198">
        <f>BD50+BF50</f>
        <v>0</v>
      </c>
      <c r="BH50" s="199"/>
      <c r="BI50" s="198">
        <f>BG50-BH50</f>
        <v>0</v>
      </c>
      <c r="BJ50" s="90">
        <f t="shared" si="4"/>
        <v>0</v>
      </c>
      <c r="BK50" s="90">
        <f t="shared" si="5"/>
        <v>0</v>
      </c>
    </row>
    <row r="51" spans="1:63" outlineLevel="1">
      <c r="A51" s="371" t="s">
        <v>585</v>
      </c>
      <c r="B51" s="198">
        <f t="shared" si="163"/>
        <v>0</v>
      </c>
      <c r="C51" s="198">
        <f t="shared" si="163"/>
        <v>0</v>
      </c>
      <c r="D51" s="198">
        <f t="shared" si="163"/>
        <v>0</v>
      </c>
      <c r="E51" s="198">
        <f>B51+D51</f>
        <v>0</v>
      </c>
      <c r="F51" s="198">
        <f>BB51+BH51</f>
        <v>0</v>
      </c>
      <c r="G51" s="198">
        <f>E51-F51</f>
        <v>0</v>
      </c>
      <c r="H51" s="199"/>
      <c r="I51" s="199"/>
      <c r="J51" s="199"/>
      <c r="K51" s="198">
        <f t="shared" si="6"/>
        <v>0</v>
      </c>
      <c r="L51" s="199"/>
      <c r="M51" s="198">
        <f t="shared" si="71"/>
        <v>0</v>
      </c>
      <c r="N51" s="199"/>
      <c r="O51" s="199"/>
      <c r="P51" s="199"/>
      <c r="Q51" s="198">
        <f>N51+P51</f>
        <v>0</v>
      </c>
      <c r="R51" s="199"/>
      <c r="S51" s="198">
        <f>Q51-R51</f>
        <v>0</v>
      </c>
      <c r="T51" s="199"/>
      <c r="U51" s="199"/>
      <c r="V51" s="199"/>
      <c r="W51" s="198">
        <f>T51+V51</f>
        <v>0</v>
      </c>
      <c r="X51" s="199"/>
      <c r="Y51" s="198">
        <f>W51-X51</f>
        <v>0</v>
      </c>
      <c r="Z51" s="199"/>
      <c r="AA51" s="199"/>
      <c r="AB51" s="199"/>
      <c r="AC51" s="198">
        <f>Z51+AB51</f>
        <v>0</v>
      </c>
      <c r="AD51" s="199"/>
      <c r="AE51" s="198">
        <f>AC51-AD51</f>
        <v>0</v>
      </c>
      <c r="AF51" s="199"/>
      <c r="AG51" s="199"/>
      <c r="AH51" s="199"/>
      <c r="AI51" s="198">
        <f>AF51+AH51</f>
        <v>0</v>
      </c>
      <c r="AJ51" s="199"/>
      <c r="AK51" s="198">
        <f>AI51-AJ51</f>
        <v>0</v>
      </c>
      <c r="AL51" s="199"/>
      <c r="AM51" s="199"/>
      <c r="AN51" s="199"/>
      <c r="AO51" s="198">
        <f>AL51+AN51</f>
        <v>0</v>
      </c>
      <c r="AP51" s="199"/>
      <c r="AQ51" s="198">
        <f>AO51-AP51</f>
        <v>0</v>
      </c>
      <c r="AR51" s="199"/>
      <c r="AS51" s="199"/>
      <c r="AT51" s="199"/>
      <c r="AU51" s="198">
        <f>AR51+AT51</f>
        <v>0</v>
      </c>
      <c r="AV51" s="199"/>
      <c r="AW51" s="198">
        <f>AU51-AV51</f>
        <v>0</v>
      </c>
      <c r="AX51" s="198">
        <f>SUMIF($H$6:$AW$6,"年初累计发生额",H51:AW51)</f>
        <v>0</v>
      </c>
      <c r="AY51" s="198">
        <f>SUMIF($H$6:$AW$6,"本月发生额",H51:AW51)</f>
        <v>0</v>
      </c>
      <c r="AZ51" s="198">
        <f>SUMIF($H$6:$AW$6,"本年发生额",H51:AW51)</f>
        <v>0</v>
      </c>
      <c r="BA51" s="198">
        <f>SUMIF($H$6:$AW$6,"自开工累计发生额",H51:AW51)</f>
        <v>0</v>
      </c>
      <c r="BB51" s="198">
        <f>SUMIF($H$6:$AW$6,"结转开发成本累计金额",H51:AW51)</f>
        <v>0</v>
      </c>
      <c r="BC51" s="198">
        <f>SUMIF($H$6:$AW$6,"开发成本期末余额",H51:AW51)</f>
        <v>0</v>
      </c>
      <c r="BD51" s="199"/>
      <c r="BE51" s="199"/>
      <c r="BF51" s="199"/>
      <c r="BG51" s="198">
        <f>BD51+BF51</f>
        <v>0</v>
      </c>
      <c r="BH51" s="199"/>
      <c r="BI51" s="198">
        <f>BG51-BH51</f>
        <v>0</v>
      </c>
      <c r="BJ51" s="90">
        <f t="shared" si="4"/>
        <v>0</v>
      </c>
      <c r="BK51" s="90">
        <f t="shared" si="5"/>
        <v>0</v>
      </c>
    </row>
    <row r="52" spans="1:63" outlineLevel="1">
      <c r="A52" s="371" t="s">
        <v>586</v>
      </c>
      <c r="B52" s="198">
        <f t="shared" si="163"/>
        <v>0</v>
      </c>
      <c r="C52" s="198">
        <f t="shared" si="163"/>
        <v>0</v>
      </c>
      <c r="D52" s="198">
        <f t="shared" si="163"/>
        <v>0</v>
      </c>
      <c r="E52" s="198">
        <f>B52+D52</f>
        <v>0</v>
      </c>
      <c r="F52" s="198">
        <f>BB52+BH52</f>
        <v>0</v>
      </c>
      <c r="G52" s="198">
        <f>E52-F52</f>
        <v>0</v>
      </c>
      <c r="H52" s="199"/>
      <c r="I52" s="199"/>
      <c r="J52" s="199"/>
      <c r="K52" s="198">
        <f t="shared" si="6"/>
        <v>0</v>
      </c>
      <c r="L52" s="199"/>
      <c r="M52" s="198">
        <f t="shared" si="71"/>
        <v>0</v>
      </c>
      <c r="N52" s="199"/>
      <c r="O52" s="199"/>
      <c r="P52" s="199"/>
      <c r="Q52" s="198">
        <f>N52+P52</f>
        <v>0</v>
      </c>
      <c r="R52" s="199"/>
      <c r="S52" s="198">
        <f>Q52-R52</f>
        <v>0</v>
      </c>
      <c r="T52" s="199"/>
      <c r="U52" s="199"/>
      <c r="V52" s="199"/>
      <c r="W52" s="198">
        <f>T52+V52</f>
        <v>0</v>
      </c>
      <c r="X52" s="199"/>
      <c r="Y52" s="198">
        <f>W52-X52</f>
        <v>0</v>
      </c>
      <c r="Z52" s="199"/>
      <c r="AA52" s="199"/>
      <c r="AB52" s="199"/>
      <c r="AC52" s="198">
        <f>Z52+AB52</f>
        <v>0</v>
      </c>
      <c r="AD52" s="199"/>
      <c r="AE52" s="198">
        <f>AC52-AD52</f>
        <v>0</v>
      </c>
      <c r="AF52" s="199"/>
      <c r="AG52" s="199"/>
      <c r="AH52" s="199"/>
      <c r="AI52" s="198">
        <f>AF52+AH52</f>
        <v>0</v>
      </c>
      <c r="AJ52" s="199"/>
      <c r="AK52" s="198">
        <f>AI52-AJ52</f>
        <v>0</v>
      </c>
      <c r="AL52" s="199"/>
      <c r="AM52" s="199"/>
      <c r="AN52" s="199"/>
      <c r="AO52" s="198">
        <f>AL52+AN52</f>
        <v>0</v>
      </c>
      <c r="AP52" s="199"/>
      <c r="AQ52" s="198">
        <f>AO52-AP52</f>
        <v>0</v>
      </c>
      <c r="AR52" s="199"/>
      <c r="AS52" s="199"/>
      <c r="AT52" s="199"/>
      <c r="AU52" s="198">
        <f>AR52+AT52</f>
        <v>0</v>
      </c>
      <c r="AV52" s="199"/>
      <c r="AW52" s="198">
        <f>AU52-AV52</f>
        <v>0</v>
      </c>
      <c r="AX52" s="198">
        <f>SUMIF($H$6:$AW$6,"年初累计发生额",H52:AW52)</f>
        <v>0</v>
      </c>
      <c r="AY52" s="198">
        <f>SUMIF($H$6:$AW$6,"本月发生额",H52:AW52)</f>
        <v>0</v>
      </c>
      <c r="AZ52" s="198">
        <f>SUMIF($H$6:$AW$6,"本年发生额",H52:AW52)</f>
        <v>0</v>
      </c>
      <c r="BA52" s="198">
        <f>SUMIF($H$6:$AW$6,"自开工累计发生额",H52:AW52)</f>
        <v>0</v>
      </c>
      <c r="BB52" s="198">
        <f>SUMIF($H$6:$AW$6,"结转开发成本累计金额",H52:AW52)</f>
        <v>0</v>
      </c>
      <c r="BC52" s="198">
        <f>SUMIF($H$6:$AW$6,"开发成本期末余额",H52:AW52)</f>
        <v>0</v>
      </c>
      <c r="BD52" s="199"/>
      <c r="BE52" s="199"/>
      <c r="BF52" s="199"/>
      <c r="BG52" s="198">
        <f>BD52+BF52</f>
        <v>0</v>
      </c>
      <c r="BH52" s="199"/>
      <c r="BI52" s="198">
        <f>BG52-BH52</f>
        <v>0</v>
      </c>
      <c r="BJ52" s="90">
        <f t="shared" si="4"/>
        <v>0</v>
      </c>
      <c r="BK52" s="90">
        <f t="shared" si="5"/>
        <v>0</v>
      </c>
    </row>
    <row r="53" spans="1:63">
      <c r="A53" s="370" t="s">
        <v>587</v>
      </c>
      <c r="B53" s="197">
        <f t="shared" ref="B53:AG53" si="164">B8+B16+B24+B32+B37+B42+B43+B49</f>
        <v>4270352540.8299999</v>
      </c>
      <c r="C53" s="197">
        <f t="shared" si="164"/>
        <v>14007438.309999999</v>
      </c>
      <c r="D53" s="197">
        <f t="shared" si="164"/>
        <v>295176295.77999997</v>
      </c>
      <c r="E53" s="197">
        <f t="shared" si="164"/>
        <v>4565528836.6100006</v>
      </c>
      <c r="F53" s="197">
        <f t="shared" si="164"/>
        <v>0</v>
      </c>
      <c r="G53" s="197">
        <f t="shared" si="164"/>
        <v>4565528836.6100006</v>
      </c>
      <c r="H53" s="197">
        <f t="shared" si="164"/>
        <v>4270352540.8299999</v>
      </c>
      <c r="I53" s="197">
        <f t="shared" si="164"/>
        <v>14007438.309999999</v>
      </c>
      <c r="J53" s="197">
        <f t="shared" si="164"/>
        <v>295176295.77999997</v>
      </c>
      <c r="K53" s="197">
        <f t="shared" si="164"/>
        <v>4565528836.6100006</v>
      </c>
      <c r="L53" s="197">
        <f t="shared" si="164"/>
        <v>0</v>
      </c>
      <c r="M53" s="197">
        <f t="shared" si="164"/>
        <v>4565528836.6100006</v>
      </c>
      <c r="N53" s="197">
        <f t="shared" si="164"/>
        <v>0</v>
      </c>
      <c r="O53" s="197">
        <f t="shared" si="164"/>
        <v>0</v>
      </c>
      <c r="P53" s="197">
        <f t="shared" si="164"/>
        <v>0</v>
      </c>
      <c r="Q53" s="197">
        <f t="shared" si="164"/>
        <v>0</v>
      </c>
      <c r="R53" s="197">
        <f t="shared" si="164"/>
        <v>0</v>
      </c>
      <c r="S53" s="197">
        <f t="shared" si="164"/>
        <v>0</v>
      </c>
      <c r="T53" s="197">
        <f t="shared" si="164"/>
        <v>0</v>
      </c>
      <c r="U53" s="197">
        <f t="shared" si="164"/>
        <v>0</v>
      </c>
      <c r="V53" s="197">
        <f t="shared" si="164"/>
        <v>0</v>
      </c>
      <c r="W53" s="197">
        <f t="shared" si="164"/>
        <v>0</v>
      </c>
      <c r="X53" s="197">
        <f t="shared" si="164"/>
        <v>0</v>
      </c>
      <c r="Y53" s="197">
        <f t="shared" si="164"/>
        <v>0</v>
      </c>
      <c r="Z53" s="197">
        <f t="shared" si="164"/>
        <v>0</v>
      </c>
      <c r="AA53" s="197">
        <f t="shared" si="164"/>
        <v>0</v>
      </c>
      <c r="AB53" s="197">
        <f t="shared" si="164"/>
        <v>0</v>
      </c>
      <c r="AC53" s="197">
        <f t="shared" si="164"/>
        <v>0</v>
      </c>
      <c r="AD53" s="197">
        <f t="shared" si="164"/>
        <v>0</v>
      </c>
      <c r="AE53" s="197">
        <f t="shared" si="164"/>
        <v>0</v>
      </c>
      <c r="AF53" s="197">
        <f t="shared" si="164"/>
        <v>0</v>
      </c>
      <c r="AG53" s="197">
        <f t="shared" si="164"/>
        <v>0</v>
      </c>
      <c r="AH53" s="197">
        <f t="shared" ref="AH53:BI53" si="165">AH8+AH16+AH24+AH32+AH37+AH42+AH43+AH49</f>
        <v>0</v>
      </c>
      <c r="AI53" s="197">
        <f t="shared" si="165"/>
        <v>0</v>
      </c>
      <c r="AJ53" s="197">
        <f t="shared" si="165"/>
        <v>0</v>
      </c>
      <c r="AK53" s="197">
        <f t="shared" si="165"/>
        <v>0</v>
      </c>
      <c r="AL53" s="197">
        <f t="shared" si="165"/>
        <v>0</v>
      </c>
      <c r="AM53" s="197">
        <f t="shared" si="165"/>
        <v>0</v>
      </c>
      <c r="AN53" s="197">
        <f t="shared" si="165"/>
        <v>0</v>
      </c>
      <c r="AO53" s="197">
        <f t="shared" si="165"/>
        <v>0</v>
      </c>
      <c r="AP53" s="197">
        <f t="shared" si="165"/>
        <v>0</v>
      </c>
      <c r="AQ53" s="197">
        <f t="shared" si="165"/>
        <v>0</v>
      </c>
      <c r="AR53" s="197">
        <f t="shared" si="165"/>
        <v>0</v>
      </c>
      <c r="AS53" s="197">
        <f t="shared" si="165"/>
        <v>0</v>
      </c>
      <c r="AT53" s="197">
        <f t="shared" si="165"/>
        <v>0</v>
      </c>
      <c r="AU53" s="197">
        <f t="shared" si="165"/>
        <v>0</v>
      </c>
      <c r="AV53" s="197">
        <f t="shared" si="165"/>
        <v>0</v>
      </c>
      <c r="AW53" s="197">
        <f t="shared" si="165"/>
        <v>0</v>
      </c>
      <c r="AX53" s="197">
        <f t="shared" si="165"/>
        <v>4270352540.8299999</v>
      </c>
      <c r="AY53" s="197">
        <f t="shared" si="165"/>
        <v>14007438.309999999</v>
      </c>
      <c r="AZ53" s="197">
        <f t="shared" si="165"/>
        <v>295176295.77999997</v>
      </c>
      <c r="BA53" s="197">
        <f t="shared" si="165"/>
        <v>4565528836.6100006</v>
      </c>
      <c r="BB53" s="197">
        <f t="shared" si="165"/>
        <v>0</v>
      </c>
      <c r="BC53" s="197">
        <f t="shared" si="165"/>
        <v>4565528836.6100006</v>
      </c>
      <c r="BD53" s="197">
        <f t="shared" si="165"/>
        <v>0</v>
      </c>
      <c r="BE53" s="197">
        <f t="shared" si="165"/>
        <v>0</v>
      </c>
      <c r="BF53" s="197">
        <f t="shared" si="165"/>
        <v>0</v>
      </c>
      <c r="BG53" s="197">
        <f t="shared" si="165"/>
        <v>0</v>
      </c>
      <c r="BH53" s="197">
        <f t="shared" si="165"/>
        <v>0</v>
      </c>
      <c r="BI53" s="197">
        <f t="shared" si="165"/>
        <v>0</v>
      </c>
      <c r="BJ53" s="90">
        <f t="shared" si="4"/>
        <v>0</v>
      </c>
      <c r="BK53" s="90">
        <f t="shared" si="5"/>
        <v>0</v>
      </c>
    </row>
    <row r="54" spans="1:63">
      <c r="A54" s="202"/>
      <c r="B54" s="203"/>
      <c r="C54" s="203"/>
      <c r="D54" s="203"/>
      <c r="E54" s="203"/>
      <c r="F54" s="204"/>
      <c r="G54" s="204"/>
      <c r="H54" s="203"/>
      <c r="I54" s="203"/>
      <c r="J54" s="203"/>
      <c r="K54" s="203"/>
      <c r="L54" s="204"/>
      <c r="M54" s="204"/>
      <c r="N54" s="204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4"/>
      <c r="AC54" s="204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</row>
    <row r="55" spans="1:63">
      <c r="A55" s="205" t="s">
        <v>524</v>
      </c>
      <c r="B55" s="206"/>
      <c r="C55" s="206"/>
      <c r="D55" s="206"/>
      <c r="E55" s="207"/>
      <c r="F55" s="207"/>
      <c r="G55" s="208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215"/>
      <c r="AY55" s="215"/>
      <c r="AZ55" s="215"/>
      <c r="BA55" s="215"/>
      <c r="BB55" s="206"/>
      <c r="BC55" s="206"/>
      <c r="BD55" s="92"/>
      <c r="BE55" s="92"/>
      <c r="BF55" s="92"/>
      <c r="BG55" s="92"/>
      <c r="BH55" s="92"/>
      <c r="BI55" s="92"/>
    </row>
    <row r="56" spans="1:63">
      <c r="A56" s="92" t="s">
        <v>588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92"/>
      <c r="N56" s="206"/>
      <c r="O56" s="206"/>
      <c r="P56" s="206"/>
      <c r="Q56" s="206"/>
      <c r="R56" s="206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</row>
    <row r="57" spans="1:63">
      <c r="A57" s="92" t="s">
        <v>589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</row>
    <row r="58" spans="1:63">
      <c r="A58" s="92" t="s">
        <v>590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</row>
    <row r="59" spans="1:63">
      <c r="A59" s="92" t="s">
        <v>591</v>
      </c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</row>
    <row r="60" spans="1:63">
      <c r="A60" s="92" t="s">
        <v>592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</row>
    <row r="61" spans="1:63">
      <c r="A61" s="92" t="s">
        <v>593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</row>
    <row r="62" spans="1:63">
      <c r="A62" s="209" t="s">
        <v>594</v>
      </c>
      <c r="B62" s="210"/>
    </row>
    <row r="63" spans="1:63" ht="24">
      <c r="A63" s="211" t="s">
        <v>131</v>
      </c>
      <c r="B63" s="212">
        <f>ROUND(G53-'1 资产负债表'!B14,2)</f>
        <v>0</v>
      </c>
    </row>
    <row r="64" spans="1:63">
      <c r="A64" s="211" t="s">
        <v>595</v>
      </c>
      <c r="B64" s="213">
        <f t="shared" ref="B64:AG64" si="166">ROUND(B8-SUM(B9:B15),2)</f>
        <v>0</v>
      </c>
      <c r="C64" s="213">
        <f t="shared" si="166"/>
        <v>0</v>
      </c>
      <c r="D64" s="213">
        <f t="shared" si="166"/>
        <v>0</v>
      </c>
      <c r="E64" s="213">
        <f t="shared" si="166"/>
        <v>0</v>
      </c>
      <c r="F64" s="213">
        <f t="shared" si="166"/>
        <v>0</v>
      </c>
      <c r="G64" s="213">
        <f t="shared" si="166"/>
        <v>0</v>
      </c>
      <c r="H64" s="213">
        <f t="shared" si="166"/>
        <v>0</v>
      </c>
      <c r="I64" s="213">
        <f t="shared" si="166"/>
        <v>0</v>
      </c>
      <c r="J64" s="213">
        <f t="shared" si="166"/>
        <v>0</v>
      </c>
      <c r="K64" s="213">
        <f t="shared" si="166"/>
        <v>0</v>
      </c>
      <c r="L64" s="213">
        <f t="shared" si="166"/>
        <v>0</v>
      </c>
      <c r="M64" s="213">
        <f t="shared" si="166"/>
        <v>0</v>
      </c>
      <c r="N64" s="213">
        <f t="shared" si="166"/>
        <v>0</v>
      </c>
      <c r="O64" s="213">
        <f t="shared" si="166"/>
        <v>0</v>
      </c>
      <c r="P64" s="213">
        <f t="shared" si="166"/>
        <v>0</v>
      </c>
      <c r="Q64" s="213">
        <f t="shared" si="166"/>
        <v>0</v>
      </c>
      <c r="R64" s="213">
        <f t="shared" si="166"/>
        <v>0</v>
      </c>
      <c r="S64" s="213">
        <f t="shared" si="166"/>
        <v>0</v>
      </c>
      <c r="T64" s="213">
        <f t="shared" si="166"/>
        <v>0</v>
      </c>
      <c r="U64" s="213">
        <f t="shared" si="166"/>
        <v>0</v>
      </c>
      <c r="V64" s="213">
        <f t="shared" si="166"/>
        <v>0</v>
      </c>
      <c r="W64" s="213">
        <f t="shared" si="166"/>
        <v>0</v>
      </c>
      <c r="X64" s="213">
        <f t="shared" si="166"/>
        <v>0</v>
      </c>
      <c r="Y64" s="213">
        <f t="shared" si="166"/>
        <v>0</v>
      </c>
      <c r="Z64" s="213">
        <f t="shared" si="166"/>
        <v>0</v>
      </c>
      <c r="AA64" s="213">
        <f t="shared" si="166"/>
        <v>0</v>
      </c>
      <c r="AB64" s="213">
        <f t="shared" si="166"/>
        <v>0</v>
      </c>
      <c r="AC64" s="213">
        <f t="shared" si="166"/>
        <v>0</v>
      </c>
      <c r="AD64" s="213">
        <f t="shared" si="166"/>
        <v>0</v>
      </c>
      <c r="AE64" s="213">
        <f t="shared" si="166"/>
        <v>0</v>
      </c>
      <c r="AF64" s="213">
        <f t="shared" si="166"/>
        <v>0</v>
      </c>
      <c r="AG64" s="213">
        <f t="shared" si="166"/>
        <v>0</v>
      </c>
      <c r="AH64" s="213">
        <f t="shared" ref="AH64:BI64" si="167">ROUND(AH8-SUM(AH9:AH15),2)</f>
        <v>0</v>
      </c>
      <c r="AI64" s="213">
        <f t="shared" si="167"/>
        <v>0</v>
      </c>
      <c r="AJ64" s="213">
        <f t="shared" si="167"/>
        <v>0</v>
      </c>
      <c r="AK64" s="213">
        <f t="shared" si="167"/>
        <v>0</v>
      </c>
      <c r="AL64" s="213">
        <f t="shared" si="167"/>
        <v>0</v>
      </c>
      <c r="AM64" s="213">
        <f t="shared" si="167"/>
        <v>0</v>
      </c>
      <c r="AN64" s="213">
        <f t="shared" si="167"/>
        <v>0</v>
      </c>
      <c r="AO64" s="213">
        <f t="shared" si="167"/>
        <v>0</v>
      </c>
      <c r="AP64" s="213">
        <f t="shared" si="167"/>
        <v>0</v>
      </c>
      <c r="AQ64" s="213">
        <f t="shared" si="167"/>
        <v>0</v>
      </c>
      <c r="AR64" s="213">
        <f t="shared" si="167"/>
        <v>0</v>
      </c>
      <c r="AS64" s="213">
        <f t="shared" si="167"/>
        <v>0</v>
      </c>
      <c r="AT64" s="213">
        <f t="shared" si="167"/>
        <v>0</v>
      </c>
      <c r="AU64" s="213">
        <f t="shared" si="167"/>
        <v>0</v>
      </c>
      <c r="AV64" s="213">
        <f t="shared" si="167"/>
        <v>0</v>
      </c>
      <c r="AW64" s="213">
        <f t="shared" si="167"/>
        <v>0</v>
      </c>
      <c r="AX64" s="213">
        <f t="shared" si="167"/>
        <v>0</v>
      </c>
      <c r="AY64" s="213">
        <f t="shared" si="167"/>
        <v>0</v>
      </c>
      <c r="AZ64" s="213">
        <f t="shared" si="167"/>
        <v>0</v>
      </c>
      <c r="BA64" s="213">
        <f t="shared" si="167"/>
        <v>0</v>
      </c>
      <c r="BB64" s="213">
        <f t="shared" si="167"/>
        <v>0</v>
      </c>
      <c r="BC64" s="213">
        <f t="shared" si="167"/>
        <v>0</v>
      </c>
      <c r="BD64" s="213">
        <f t="shared" si="167"/>
        <v>0</v>
      </c>
      <c r="BE64" s="213">
        <f t="shared" si="167"/>
        <v>0</v>
      </c>
      <c r="BF64" s="213">
        <f t="shared" si="167"/>
        <v>0</v>
      </c>
      <c r="BG64" s="213">
        <f t="shared" si="167"/>
        <v>0</v>
      </c>
      <c r="BH64" s="213">
        <f t="shared" si="167"/>
        <v>0</v>
      </c>
      <c r="BI64" s="213">
        <f t="shared" si="167"/>
        <v>0</v>
      </c>
    </row>
    <row r="65" spans="1:61">
      <c r="A65" s="211" t="s">
        <v>596</v>
      </c>
      <c r="B65" s="213">
        <f t="shared" ref="B65:AG65" si="168">ROUND(B16-SUM(B17:B23),2)</f>
        <v>0</v>
      </c>
      <c r="C65" s="213">
        <f t="shared" si="168"/>
        <v>0</v>
      </c>
      <c r="D65" s="213">
        <f t="shared" si="168"/>
        <v>0</v>
      </c>
      <c r="E65" s="213">
        <f t="shared" si="168"/>
        <v>0</v>
      </c>
      <c r="F65" s="213">
        <f t="shared" si="168"/>
        <v>0</v>
      </c>
      <c r="G65" s="213">
        <f t="shared" si="168"/>
        <v>0</v>
      </c>
      <c r="H65" s="213">
        <f t="shared" si="168"/>
        <v>0</v>
      </c>
      <c r="I65" s="213">
        <f t="shared" si="168"/>
        <v>0</v>
      </c>
      <c r="J65" s="213">
        <f t="shared" si="168"/>
        <v>0</v>
      </c>
      <c r="K65" s="213">
        <f t="shared" si="168"/>
        <v>0</v>
      </c>
      <c r="L65" s="213">
        <f t="shared" si="168"/>
        <v>0</v>
      </c>
      <c r="M65" s="213">
        <f t="shared" si="168"/>
        <v>0</v>
      </c>
      <c r="N65" s="213">
        <f t="shared" si="168"/>
        <v>0</v>
      </c>
      <c r="O65" s="213">
        <f t="shared" si="168"/>
        <v>0</v>
      </c>
      <c r="P65" s="213">
        <f t="shared" si="168"/>
        <v>0</v>
      </c>
      <c r="Q65" s="213">
        <f t="shared" si="168"/>
        <v>0</v>
      </c>
      <c r="R65" s="213">
        <f t="shared" si="168"/>
        <v>0</v>
      </c>
      <c r="S65" s="213">
        <f t="shared" si="168"/>
        <v>0</v>
      </c>
      <c r="T65" s="213">
        <f t="shared" si="168"/>
        <v>0</v>
      </c>
      <c r="U65" s="213">
        <f t="shared" si="168"/>
        <v>0</v>
      </c>
      <c r="V65" s="213">
        <f t="shared" si="168"/>
        <v>0</v>
      </c>
      <c r="W65" s="213">
        <f t="shared" si="168"/>
        <v>0</v>
      </c>
      <c r="X65" s="213">
        <f t="shared" si="168"/>
        <v>0</v>
      </c>
      <c r="Y65" s="213">
        <f t="shared" si="168"/>
        <v>0</v>
      </c>
      <c r="Z65" s="213">
        <f t="shared" si="168"/>
        <v>0</v>
      </c>
      <c r="AA65" s="213">
        <f t="shared" si="168"/>
        <v>0</v>
      </c>
      <c r="AB65" s="213">
        <f t="shared" si="168"/>
        <v>0</v>
      </c>
      <c r="AC65" s="213">
        <f t="shared" si="168"/>
        <v>0</v>
      </c>
      <c r="AD65" s="213">
        <f t="shared" si="168"/>
        <v>0</v>
      </c>
      <c r="AE65" s="213">
        <f t="shared" si="168"/>
        <v>0</v>
      </c>
      <c r="AF65" s="213">
        <f t="shared" si="168"/>
        <v>0</v>
      </c>
      <c r="AG65" s="213">
        <f t="shared" si="168"/>
        <v>0</v>
      </c>
      <c r="AH65" s="213">
        <f t="shared" ref="AH65:BI65" si="169">ROUND(AH16-SUM(AH17:AH23),2)</f>
        <v>0</v>
      </c>
      <c r="AI65" s="213">
        <f t="shared" si="169"/>
        <v>0</v>
      </c>
      <c r="AJ65" s="213">
        <f t="shared" si="169"/>
        <v>0</v>
      </c>
      <c r="AK65" s="213">
        <f t="shared" si="169"/>
        <v>0</v>
      </c>
      <c r="AL65" s="213">
        <f t="shared" si="169"/>
        <v>0</v>
      </c>
      <c r="AM65" s="213">
        <f t="shared" si="169"/>
        <v>0</v>
      </c>
      <c r="AN65" s="213">
        <f t="shared" si="169"/>
        <v>0</v>
      </c>
      <c r="AO65" s="213">
        <f t="shared" si="169"/>
        <v>0</v>
      </c>
      <c r="AP65" s="213">
        <f t="shared" si="169"/>
        <v>0</v>
      </c>
      <c r="AQ65" s="213">
        <f t="shared" si="169"/>
        <v>0</v>
      </c>
      <c r="AR65" s="213">
        <f t="shared" si="169"/>
        <v>0</v>
      </c>
      <c r="AS65" s="213">
        <f t="shared" si="169"/>
        <v>0</v>
      </c>
      <c r="AT65" s="213">
        <f t="shared" si="169"/>
        <v>0</v>
      </c>
      <c r="AU65" s="213">
        <f t="shared" si="169"/>
        <v>0</v>
      </c>
      <c r="AV65" s="213">
        <f t="shared" si="169"/>
        <v>0</v>
      </c>
      <c r="AW65" s="213">
        <f t="shared" si="169"/>
        <v>0</v>
      </c>
      <c r="AX65" s="213">
        <f t="shared" si="169"/>
        <v>0</v>
      </c>
      <c r="AY65" s="213">
        <f t="shared" si="169"/>
        <v>0</v>
      </c>
      <c r="AZ65" s="213">
        <f t="shared" si="169"/>
        <v>0</v>
      </c>
      <c r="BA65" s="213">
        <f t="shared" si="169"/>
        <v>0</v>
      </c>
      <c r="BB65" s="213">
        <f t="shared" si="169"/>
        <v>0</v>
      </c>
      <c r="BC65" s="213">
        <f t="shared" si="169"/>
        <v>0</v>
      </c>
      <c r="BD65" s="213">
        <f t="shared" si="169"/>
        <v>0</v>
      </c>
      <c r="BE65" s="213">
        <f t="shared" si="169"/>
        <v>0</v>
      </c>
      <c r="BF65" s="213">
        <f t="shared" si="169"/>
        <v>0</v>
      </c>
      <c r="BG65" s="213">
        <f t="shared" si="169"/>
        <v>0</v>
      </c>
      <c r="BH65" s="213">
        <f t="shared" si="169"/>
        <v>0</v>
      </c>
      <c r="BI65" s="213">
        <f t="shared" si="169"/>
        <v>0</v>
      </c>
    </row>
    <row r="66" spans="1:61">
      <c r="A66" s="211" t="s">
        <v>597</v>
      </c>
      <c r="B66" s="213">
        <f t="shared" ref="B66:AG66" si="170">ROUND(B24-SUM(B25:B31),2)</f>
        <v>0</v>
      </c>
      <c r="C66" s="213">
        <f t="shared" si="170"/>
        <v>0</v>
      </c>
      <c r="D66" s="213">
        <f t="shared" si="170"/>
        <v>0</v>
      </c>
      <c r="E66" s="213">
        <f t="shared" si="170"/>
        <v>0</v>
      </c>
      <c r="F66" s="213">
        <f t="shared" si="170"/>
        <v>0</v>
      </c>
      <c r="G66" s="213">
        <f t="shared" si="170"/>
        <v>0</v>
      </c>
      <c r="H66" s="213">
        <f t="shared" si="170"/>
        <v>0</v>
      </c>
      <c r="I66" s="213">
        <f t="shared" si="170"/>
        <v>0</v>
      </c>
      <c r="J66" s="213">
        <f t="shared" si="170"/>
        <v>0</v>
      </c>
      <c r="K66" s="213">
        <f t="shared" si="170"/>
        <v>0</v>
      </c>
      <c r="L66" s="213">
        <f t="shared" si="170"/>
        <v>0</v>
      </c>
      <c r="M66" s="213">
        <f t="shared" si="170"/>
        <v>0</v>
      </c>
      <c r="N66" s="213">
        <f t="shared" si="170"/>
        <v>0</v>
      </c>
      <c r="O66" s="213">
        <f t="shared" si="170"/>
        <v>0</v>
      </c>
      <c r="P66" s="213">
        <f t="shared" si="170"/>
        <v>0</v>
      </c>
      <c r="Q66" s="213">
        <f t="shared" si="170"/>
        <v>0</v>
      </c>
      <c r="R66" s="213">
        <f t="shared" si="170"/>
        <v>0</v>
      </c>
      <c r="S66" s="213">
        <f t="shared" si="170"/>
        <v>0</v>
      </c>
      <c r="T66" s="213">
        <f t="shared" si="170"/>
        <v>0</v>
      </c>
      <c r="U66" s="213">
        <f t="shared" si="170"/>
        <v>0</v>
      </c>
      <c r="V66" s="213">
        <f t="shared" si="170"/>
        <v>0</v>
      </c>
      <c r="W66" s="213">
        <f t="shared" si="170"/>
        <v>0</v>
      </c>
      <c r="X66" s="213">
        <f t="shared" si="170"/>
        <v>0</v>
      </c>
      <c r="Y66" s="213">
        <f t="shared" si="170"/>
        <v>0</v>
      </c>
      <c r="Z66" s="213">
        <f t="shared" si="170"/>
        <v>0</v>
      </c>
      <c r="AA66" s="213">
        <f t="shared" si="170"/>
        <v>0</v>
      </c>
      <c r="AB66" s="213">
        <f t="shared" si="170"/>
        <v>0</v>
      </c>
      <c r="AC66" s="213">
        <f t="shared" si="170"/>
        <v>0</v>
      </c>
      <c r="AD66" s="213">
        <f t="shared" si="170"/>
        <v>0</v>
      </c>
      <c r="AE66" s="213">
        <f t="shared" si="170"/>
        <v>0</v>
      </c>
      <c r="AF66" s="213">
        <f t="shared" si="170"/>
        <v>0</v>
      </c>
      <c r="AG66" s="213">
        <f t="shared" si="170"/>
        <v>0</v>
      </c>
      <c r="AH66" s="213">
        <f t="shared" ref="AH66:BI66" si="171">ROUND(AH24-SUM(AH25:AH31),2)</f>
        <v>0</v>
      </c>
      <c r="AI66" s="213">
        <f t="shared" si="171"/>
        <v>0</v>
      </c>
      <c r="AJ66" s="213">
        <f t="shared" si="171"/>
        <v>0</v>
      </c>
      <c r="AK66" s="213">
        <f t="shared" si="171"/>
        <v>0</v>
      </c>
      <c r="AL66" s="213">
        <f t="shared" si="171"/>
        <v>0</v>
      </c>
      <c r="AM66" s="213">
        <f t="shared" si="171"/>
        <v>0</v>
      </c>
      <c r="AN66" s="213">
        <f t="shared" si="171"/>
        <v>0</v>
      </c>
      <c r="AO66" s="213">
        <f t="shared" si="171"/>
        <v>0</v>
      </c>
      <c r="AP66" s="213">
        <f t="shared" si="171"/>
        <v>0</v>
      </c>
      <c r="AQ66" s="213">
        <f t="shared" si="171"/>
        <v>0</v>
      </c>
      <c r="AR66" s="213">
        <f t="shared" si="171"/>
        <v>0</v>
      </c>
      <c r="AS66" s="213">
        <f t="shared" si="171"/>
        <v>0</v>
      </c>
      <c r="AT66" s="213">
        <f t="shared" si="171"/>
        <v>0</v>
      </c>
      <c r="AU66" s="213">
        <f t="shared" si="171"/>
        <v>0</v>
      </c>
      <c r="AV66" s="213">
        <f t="shared" si="171"/>
        <v>0</v>
      </c>
      <c r="AW66" s="213">
        <f t="shared" si="171"/>
        <v>0</v>
      </c>
      <c r="AX66" s="213">
        <f t="shared" si="171"/>
        <v>0</v>
      </c>
      <c r="AY66" s="213">
        <f t="shared" si="171"/>
        <v>0</v>
      </c>
      <c r="AZ66" s="213">
        <f t="shared" si="171"/>
        <v>0</v>
      </c>
      <c r="BA66" s="213">
        <f t="shared" si="171"/>
        <v>0</v>
      </c>
      <c r="BB66" s="213">
        <f t="shared" si="171"/>
        <v>0</v>
      </c>
      <c r="BC66" s="213">
        <f t="shared" si="171"/>
        <v>0</v>
      </c>
      <c r="BD66" s="213">
        <f t="shared" si="171"/>
        <v>0</v>
      </c>
      <c r="BE66" s="213">
        <f t="shared" si="171"/>
        <v>0</v>
      </c>
      <c r="BF66" s="213">
        <f t="shared" si="171"/>
        <v>0</v>
      </c>
      <c r="BG66" s="213">
        <f t="shared" si="171"/>
        <v>0</v>
      </c>
      <c r="BH66" s="213">
        <f t="shared" si="171"/>
        <v>0</v>
      </c>
      <c r="BI66" s="213">
        <f t="shared" si="171"/>
        <v>0</v>
      </c>
    </row>
    <row r="67" spans="1:61">
      <c r="A67" s="211" t="s">
        <v>598</v>
      </c>
      <c r="B67" s="217">
        <f>ROUND(B32-SUM(B33:B36),2)</f>
        <v>0</v>
      </c>
      <c r="C67" s="217">
        <f t="shared" ref="C67:BI67" si="172">ROUND(C32-SUM(C33:C36),2)</f>
        <v>0</v>
      </c>
      <c r="D67" s="217">
        <f t="shared" si="172"/>
        <v>0</v>
      </c>
      <c r="E67" s="217">
        <f t="shared" si="172"/>
        <v>0</v>
      </c>
      <c r="F67" s="217">
        <f t="shared" si="172"/>
        <v>0</v>
      </c>
      <c r="G67" s="217">
        <f t="shared" si="172"/>
        <v>0</v>
      </c>
      <c r="H67" s="217">
        <f t="shared" si="172"/>
        <v>0</v>
      </c>
      <c r="I67" s="217">
        <f t="shared" si="172"/>
        <v>0</v>
      </c>
      <c r="J67" s="217">
        <f t="shared" si="172"/>
        <v>0</v>
      </c>
      <c r="K67" s="217">
        <f t="shared" si="172"/>
        <v>0</v>
      </c>
      <c r="L67" s="217">
        <f t="shared" si="172"/>
        <v>0</v>
      </c>
      <c r="M67" s="217">
        <f t="shared" si="172"/>
        <v>0</v>
      </c>
      <c r="N67" s="217">
        <f t="shared" si="172"/>
        <v>0</v>
      </c>
      <c r="O67" s="217">
        <f t="shared" si="172"/>
        <v>0</v>
      </c>
      <c r="P67" s="217">
        <f t="shared" si="172"/>
        <v>0</v>
      </c>
      <c r="Q67" s="217">
        <f t="shared" si="172"/>
        <v>0</v>
      </c>
      <c r="R67" s="217">
        <f t="shared" si="172"/>
        <v>0</v>
      </c>
      <c r="S67" s="217">
        <f t="shared" si="172"/>
        <v>0</v>
      </c>
      <c r="T67" s="217">
        <f t="shared" si="172"/>
        <v>0</v>
      </c>
      <c r="U67" s="217">
        <f t="shared" si="172"/>
        <v>0</v>
      </c>
      <c r="V67" s="217">
        <f t="shared" si="172"/>
        <v>0</v>
      </c>
      <c r="W67" s="217">
        <f t="shared" si="172"/>
        <v>0</v>
      </c>
      <c r="X67" s="217">
        <f t="shared" si="172"/>
        <v>0</v>
      </c>
      <c r="Y67" s="217">
        <f t="shared" si="172"/>
        <v>0</v>
      </c>
      <c r="Z67" s="217">
        <f t="shared" si="172"/>
        <v>0</v>
      </c>
      <c r="AA67" s="217">
        <f t="shared" si="172"/>
        <v>0</v>
      </c>
      <c r="AB67" s="217">
        <f t="shared" si="172"/>
        <v>0</v>
      </c>
      <c r="AC67" s="217">
        <f t="shared" si="172"/>
        <v>0</v>
      </c>
      <c r="AD67" s="217">
        <f t="shared" si="172"/>
        <v>0</v>
      </c>
      <c r="AE67" s="217">
        <f t="shared" si="172"/>
        <v>0</v>
      </c>
      <c r="AF67" s="217">
        <f t="shared" si="172"/>
        <v>0</v>
      </c>
      <c r="AG67" s="217">
        <f t="shared" si="172"/>
        <v>0</v>
      </c>
      <c r="AH67" s="217">
        <f t="shared" si="172"/>
        <v>0</v>
      </c>
      <c r="AI67" s="217">
        <f t="shared" si="172"/>
        <v>0</v>
      </c>
      <c r="AJ67" s="217">
        <f t="shared" si="172"/>
        <v>0</v>
      </c>
      <c r="AK67" s="217">
        <f t="shared" si="172"/>
        <v>0</v>
      </c>
      <c r="AL67" s="217">
        <f t="shared" si="172"/>
        <v>0</v>
      </c>
      <c r="AM67" s="217">
        <f t="shared" si="172"/>
        <v>0</v>
      </c>
      <c r="AN67" s="217">
        <f t="shared" si="172"/>
        <v>0</v>
      </c>
      <c r="AO67" s="217">
        <f t="shared" si="172"/>
        <v>0</v>
      </c>
      <c r="AP67" s="217">
        <f t="shared" si="172"/>
        <v>0</v>
      </c>
      <c r="AQ67" s="217">
        <f t="shared" si="172"/>
        <v>0</v>
      </c>
      <c r="AR67" s="217">
        <f t="shared" si="172"/>
        <v>0</v>
      </c>
      <c r="AS67" s="217">
        <f t="shared" si="172"/>
        <v>0</v>
      </c>
      <c r="AT67" s="217">
        <f t="shared" si="172"/>
        <v>0</v>
      </c>
      <c r="AU67" s="217">
        <f t="shared" si="172"/>
        <v>0</v>
      </c>
      <c r="AV67" s="217">
        <f t="shared" si="172"/>
        <v>0</v>
      </c>
      <c r="AW67" s="217">
        <f t="shared" si="172"/>
        <v>0</v>
      </c>
      <c r="AX67" s="217">
        <f t="shared" si="172"/>
        <v>0</v>
      </c>
      <c r="AY67" s="217">
        <f t="shared" si="172"/>
        <v>0</v>
      </c>
      <c r="AZ67" s="217">
        <f t="shared" si="172"/>
        <v>0</v>
      </c>
      <c r="BA67" s="217">
        <f t="shared" si="172"/>
        <v>0</v>
      </c>
      <c r="BB67" s="217">
        <f t="shared" si="172"/>
        <v>0</v>
      </c>
      <c r="BC67" s="217">
        <f t="shared" si="172"/>
        <v>0</v>
      </c>
      <c r="BD67" s="217">
        <f t="shared" si="172"/>
        <v>0</v>
      </c>
      <c r="BE67" s="217">
        <f t="shared" si="172"/>
        <v>0</v>
      </c>
      <c r="BF67" s="217">
        <f t="shared" si="172"/>
        <v>0</v>
      </c>
      <c r="BG67" s="217">
        <f t="shared" si="172"/>
        <v>0</v>
      </c>
      <c r="BH67" s="217">
        <f t="shared" si="172"/>
        <v>0</v>
      </c>
      <c r="BI67" s="217">
        <f t="shared" si="172"/>
        <v>0</v>
      </c>
    </row>
    <row r="68" spans="1:61">
      <c r="A68" s="211" t="s">
        <v>599</v>
      </c>
      <c r="B68" s="217">
        <f>ROUND(B37-SUM(B38:B41),2)</f>
        <v>0</v>
      </c>
      <c r="C68" s="217">
        <f t="shared" ref="C68:BI68" si="173">ROUND(C37-SUM(C38:C41),2)</f>
        <v>0</v>
      </c>
      <c r="D68" s="217">
        <f t="shared" si="173"/>
        <v>0</v>
      </c>
      <c r="E68" s="217">
        <f t="shared" si="173"/>
        <v>0</v>
      </c>
      <c r="F68" s="217">
        <f t="shared" si="173"/>
        <v>0</v>
      </c>
      <c r="G68" s="217">
        <f t="shared" si="173"/>
        <v>0</v>
      </c>
      <c r="H68" s="217">
        <f t="shared" si="173"/>
        <v>0</v>
      </c>
      <c r="I68" s="217">
        <f t="shared" si="173"/>
        <v>0</v>
      </c>
      <c r="J68" s="217">
        <f t="shared" si="173"/>
        <v>0</v>
      </c>
      <c r="K68" s="217">
        <f t="shared" si="173"/>
        <v>0</v>
      </c>
      <c r="L68" s="217">
        <f t="shared" si="173"/>
        <v>0</v>
      </c>
      <c r="M68" s="217">
        <f t="shared" si="173"/>
        <v>0</v>
      </c>
      <c r="N68" s="217">
        <f t="shared" si="173"/>
        <v>0</v>
      </c>
      <c r="O68" s="217">
        <f t="shared" si="173"/>
        <v>0</v>
      </c>
      <c r="P68" s="217">
        <f t="shared" si="173"/>
        <v>0</v>
      </c>
      <c r="Q68" s="217">
        <f t="shared" si="173"/>
        <v>0</v>
      </c>
      <c r="R68" s="217">
        <f t="shared" si="173"/>
        <v>0</v>
      </c>
      <c r="S68" s="217">
        <f t="shared" si="173"/>
        <v>0</v>
      </c>
      <c r="T68" s="217">
        <f t="shared" si="173"/>
        <v>0</v>
      </c>
      <c r="U68" s="217">
        <f t="shared" si="173"/>
        <v>0</v>
      </c>
      <c r="V68" s="217">
        <f t="shared" si="173"/>
        <v>0</v>
      </c>
      <c r="W68" s="217">
        <f t="shared" si="173"/>
        <v>0</v>
      </c>
      <c r="X68" s="217">
        <f t="shared" si="173"/>
        <v>0</v>
      </c>
      <c r="Y68" s="217">
        <f t="shared" si="173"/>
        <v>0</v>
      </c>
      <c r="Z68" s="217">
        <f t="shared" si="173"/>
        <v>0</v>
      </c>
      <c r="AA68" s="217">
        <f t="shared" si="173"/>
        <v>0</v>
      </c>
      <c r="AB68" s="217">
        <f t="shared" si="173"/>
        <v>0</v>
      </c>
      <c r="AC68" s="217">
        <f t="shared" si="173"/>
        <v>0</v>
      </c>
      <c r="AD68" s="217">
        <f t="shared" si="173"/>
        <v>0</v>
      </c>
      <c r="AE68" s="217">
        <f t="shared" si="173"/>
        <v>0</v>
      </c>
      <c r="AF68" s="217">
        <f t="shared" si="173"/>
        <v>0</v>
      </c>
      <c r="AG68" s="217">
        <f t="shared" si="173"/>
        <v>0</v>
      </c>
      <c r="AH68" s="217">
        <f t="shared" si="173"/>
        <v>0</v>
      </c>
      <c r="AI68" s="217">
        <f t="shared" si="173"/>
        <v>0</v>
      </c>
      <c r="AJ68" s="217">
        <f t="shared" si="173"/>
        <v>0</v>
      </c>
      <c r="AK68" s="217">
        <f t="shared" si="173"/>
        <v>0</v>
      </c>
      <c r="AL68" s="217">
        <f t="shared" si="173"/>
        <v>0</v>
      </c>
      <c r="AM68" s="217">
        <f t="shared" si="173"/>
        <v>0</v>
      </c>
      <c r="AN68" s="217">
        <f t="shared" si="173"/>
        <v>0</v>
      </c>
      <c r="AO68" s="217">
        <f t="shared" si="173"/>
        <v>0</v>
      </c>
      <c r="AP68" s="217">
        <f t="shared" si="173"/>
        <v>0</v>
      </c>
      <c r="AQ68" s="217">
        <f t="shared" si="173"/>
        <v>0</v>
      </c>
      <c r="AR68" s="217">
        <f t="shared" si="173"/>
        <v>0</v>
      </c>
      <c r="AS68" s="217">
        <f t="shared" si="173"/>
        <v>0</v>
      </c>
      <c r="AT68" s="217">
        <f t="shared" si="173"/>
        <v>0</v>
      </c>
      <c r="AU68" s="217">
        <f t="shared" si="173"/>
        <v>0</v>
      </c>
      <c r="AV68" s="217">
        <f t="shared" si="173"/>
        <v>0</v>
      </c>
      <c r="AW68" s="217">
        <f t="shared" si="173"/>
        <v>0</v>
      </c>
      <c r="AX68" s="217">
        <f t="shared" si="173"/>
        <v>0</v>
      </c>
      <c r="AY68" s="217">
        <f t="shared" si="173"/>
        <v>0</v>
      </c>
      <c r="AZ68" s="217">
        <f t="shared" si="173"/>
        <v>0</v>
      </c>
      <c r="BA68" s="217">
        <f t="shared" si="173"/>
        <v>0</v>
      </c>
      <c r="BB68" s="217">
        <f t="shared" si="173"/>
        <v>0</v>
      </c>
      <c r="BC68" s="217">
        <f t="shared" si="173"/>
        <v>0</v>
      </c>
      <c r="BD68" s="217">
        <f t="shared" si="173"/>
        <v>0</v>
      </c>
      <c r="BE68" s="217">
        <f t="shared" si="173"/>
        <v>0</v>
      </c>
      <c r="BF68" s="217">
        <f t="shared" si="173"/>
        <v>0</v>
      </c>
      <c r="BG68" s="217">
        <f t="shared" si="173"/>
        <v>0</v>
      </c>
      <c r="BH68" s="217">
        <f t="shared" si="173"/>
        <v>0</v>
      </c>
      <c r="BI68" s="217">
        <f t="shared" si="173"/>
        <v>0</v>
      </c>
    </row>
    <row r="69" spans="1:61">
      <c r="A69" s="211" t="s">
        <v>600</v>
      </c>
      <c r="B69" s="213">
        <f>ROUND(B43-SUM(B44:B48),2)</f>
        <v>0</v>
      </c>
      <c r="C69" s="213">
        <f t="shared" ref="C69:BI69" si="174">ROUND(C43-SUM(C44:C48),2)</f>
        <v>0</v>
      </c>
      <c r="D69" s="213">
        <f t="shared" si="174"/>
        <v>0</v>
      </c>
      <c r="E69" s="213">
        <f t="shared" si="174"/>
        <v>0</v>
      </c>
      <c r="F69" s="213">
        <f t="shared" si="174"/>
        <v>0</v>
      </c>
      <c r="G69" s="213">
        <f t="shared" si="174"/>
        <v>0</v>
      </c>
      <c r="H69" s="213">
        <f t="shared" si="174"/>
        <v>0</v>
      </c>
      <c r="I69" s="213">
        <f t="shared" si="174"/>
        <v>0</v>
      </c>
      <c r="J69" s="213">
        <f t="shared" si="174"/>
        <v>0</v>
      </c>
      <c r="K69" s="213">
        <f t="shared" si="174"/>
        <v>0</v>
      </c>
      <c r="L69" s="213">
        <f t="shared" si="174"/>
        <v>0</v>
      </c>
      <c r="M69" s="213">
        <f t="shared" si="174"/>
        <v>0</v>
      </c>
      <c r="N69" s="213">
        <f t="shared" si="174"/>
        <v>0</v>
      </c>
      <c r="O69" s="213">
        <f t="shared" si="174"/>
        <v>0</v>
      </c>
      <c r="P69" s="213">
        <f t="shared" si="174"/>
        <v>0</v>
      </c>
      <c r="Q69" s="213">
        <f t="shared" si="174"/>
        <v>0</v>
      </c>
      <c r="R69" s="213">
        <f t="shared" si="174"/>
        <v>0</v>
      </c>
      <c r="S69" s="213">
        <f t="shared" si="174"/>
        <v>0</v>
      </c>
      <c r="T69" s="213">
        <f t="shared" si="174"/>
        <v>0</v>
      </c>
      <c r="U69" s="213">
        <f t="shared" si="174"/>
        <v>0</v>
      </c>
      <c r="V69" s="213">
        <f t="shared" si="174"/>
        <v>0</v>
      </c>
      <c r="W69" s="213">
        <f t="shared" si="174"/>
        <v>0</v>
      </c>
      <c r="X69" s="213">
        <f t="shared" si="174"/>
        <v>0</v>
      </c>
      <c r="Y69" s="213">
        <f t="shared" si="174"/>
        <v>0</v>
      </c>
      <c r="Z69" s="213">
        <f t="shared" si="174"/>
        <v>0</v>
      </c>
      <c r="AA69" s="213">
        <f t="shared" si="174"/>
        <v>0</v>
      </c>
      <c r="AB69" s="213">
        <f t="shared" si="174"/>
        <v>0</v>
      </c>
      <c r="AC69" s="213">
        <f t="shared" si="174"/>
        <v>0</v>
      </c>
      <c r="AD69" s="213">
        <f t="shared" si="174"/>
        <v>0</v>
      </c>
      <c r="AE69" s="213">
        <f t="shared" si="174"/>
        <v>0</v>
      </c>
      <c r="AF69" s="213">
        <f t="shared" si="174"/>
        <v>0</v>
      </c>
      <c r="AG69" s="213">
        <f t="shared" si="174"/>
        <v>0</v>
      </c>
      <c r="AH69" s="213">
        <f t="shared" si="174"/>
        <v>0</v>
      </c>
      <c r="AI69" s="213">
        <f t="shared" si="174"/>
        <v>0</v>
      </c>
      <c r="AJ69" s="213">
        <f t="shared" si="174"/>
        <v>0</v>
      </c>
      <c r="AK69" s="213">
        <f t="shared" si="174"/>
        <v>0</v>
      </c>
      <c r="AL69" s="213">
        <f t="shared" si="174"/>
        <v>0</v>
      </c>
      <c r="AM69" s="213">
        <f t="shared" si="174"/>
        <v>0</v>
      </c>
      <c r="AN69" s="213">
        <f t="shared" si="174"/>
        <v>0</v>
      </c>
      <c r="AO69" s="213">
        <f t="shared" si="174"/>
        <v>0</v>
      </c>
      <c r="AP69" s="213">
        <f t="shared" si="174"/>
        <v>0</v>
      </c>
      <c r="AQ69" s="213">
        <f t="shared" si="174"/>
        <v>0</v>
      </c>
      <c r="AR69" s="213">
        <f t="shared" si="174"/>
        <v>0</v>
      </c>
      <c r="AS69" s="213">
        <f t="shared" si="174"/>
        <v>0</v>
      </c>
      <c r="AT69" s="213">
        <f t="shared" si="174"/>
        <v>0</v>
      </c>
      <c r="AU69" s="213">
        <f t="shared" si="174"/>
        <v>0</v>
      </c>
      <c r="AV69" s="213">
        <f t="shared" si="174"/>
        <v>0</v>
      </c>
      <c r="AW69" s="213">
        <f t="shared" si="174"/>
        <v>0</v>
      </c>
      <c r="AX69" s="213">
        <f t="shared" si="174"/>
        <v>0</v>
      </c>
      <c r="AY69" s="213">
        <f t="shared" si="174"/>
        <v>0</v>
      </c>
      <c r="AZ69" s="213">
        <f t="shared" si="174"/>
        <v>0</v>
      </c>
      <c r="BA69" s="213">
        <f t="shared" si="174"/>
        <v>0</v>
      </c>
      <c r="BB69" s="213">
        <f t="shared" si="174"/>
        <v>0</v>
      </c>
      <c r="BC69" s="213">
        <f t="shared" si="174"/>
        <v>0</v>
      </c>
      <c r="BD69" s="213">
        <f t="shared" si="174"/>
        <v>0</v>
      </c>
      <c r="BE69" s="213">
        <f t="shared" si="174"/>
        <v>0</v>
      </c>
      <c r="BF69" s="213">
        <f t="shared" si="174"/>
        <v>0</v>
      </c>
      <c r="BG69" s="213">
        <f t="shared" si="174"/>
        <v>0</v>
      </c>
      <c r="BH69" s="213">
        <f t="shared" si="174"/>
        <v>0</v>
      </c>
      <c r="BI69" s="213">
        <f t="shared" si="174"/>
        <v>0</v>
      </c>
    </row>
    <row r="70" spans="1:61">
      <c r="A70" s="211" t="s">
        <v>601</v>
      </c>
      <c r="B70" s="213">
        <f>ROUND(B49-SUM(B50:B52),2)</f>
        <v>0</v>
      </c>
      <c r="C70" s="213">
        <f t="shared" ref="C70:BI70" si="175">ROUND(C49-SUM(C50:C52),2)</f>
        <v>0</v>
      </c>
      <c r="D70" s="213">
        <f t="shared" si="175"/>
        <v>0</v>
      </c>
      <c r="E70" s="213">
        <f t="shared" si="175"/>
        <v>0</v>
      </c>
      <c r="F70" s="213">
        <f t="shared" si="175"/>
        <v>0</v>
      </c>
      <c r="G70" s="213">
        <f t="shared" si="175"/>
        <v>0</v>
      </c>
      <c r="H70" s="213">
        <f t="shared" si="175"/>
        <v>0</v>
      </c>
      <c r="I70" s="213">
        <f t="shared" si="175"/>
        <v>0</v>
      </c>
      <c r="J70" s="213">
        <f t="shared" si="175"/>
        <v>0</v>
      </c>
      <c r="K70" s="213">
        <f t="shared" si="175"/>
        <v>0</v>
      </c>
      <c r="L70" s="213">
        <f t="shared" si="175"/>
        <v>0</v>
      </c>
      <c r="M70" s="213">
        <f t="shared" si="175"/>
        <v>0</v>
      </c>
      <c r="N70" s="213">
        <f t="shared" si="175"/>
        <v>0</v>
      </c>
      <c r="O70" s="213">
        <f t="shared" si="175"/>
        <v>0</v>
      </c>
      <c r="P70" s="213">
        <f t="shared" si="175"/>
        <v>0</v>
      </c>
      <c r="Q70" s="213">
        <f t="shared" si="175"/>
        <v>0</v>
      </c>
      <c r="R70" s="213">
        <f t="shared" si="175"/>
        <v>0</v>
      </c>
      <c r="S70" s="213">
        <f t="shared" si="175"/>
        <v>0</v>
      </c>
      <c r="T70" s="213">
        <f t="shared" si="175"/>
        <v>0</v>
      </c>
      <c r="U70" s="213">
        <f t="shared" si="175"/>
        <v>0</v>
      </c>
      <c r="V70" s="213">
        <f t="shared" si="175"/>
        <v>0</v>
      </c>
      <c r="W70" s="213">
        <f t="shared" si="175"/>
        <v>0</v>
      </c>
      <c r="X70" s="213">
        <f t="shared" si="175"/>
        <v>0</v>
      </c>
      <c r="Y70" s="213">
        <f t="shared" si="175"/>
        <v>0</v>
      </c>
      <c r="Z70" s="213">
        <f t="shared" si="175"/>
        <v>0</v>
      </c>
      <c r="AA70" s="213">
        <f t="shared" si="175"/>
        <v>0</v>
      </c>
      <c r="AB70" s="213">
        <f t="shared" si="175"/>
        <v>0</v>
      </c>
      <c r="AC70" s="213">
        <f t="shared" si="175"/>
        <v>0</v>
      </c>
      <c r="AD70" s="213">
        <f t="shared" si="175"/>
        <v>0</v>
      </c>
      <c r="AE70" s="213">
        <f t="shared" si="175"/>
        <v>0</v>
      </c>
      <c r="AF70" s="213">
        <f t="shared" si="175"/>
        <v>0</v>
      </c>
      <c r="AG70" s="213">
        <f t="shared" si="175"/>
        <v>0</v>
      </c>
      <c r="AH70" s="213">
        <f t="shared" si="175"/>
        <v>0</v>
      </c>
      <c r="AI70" s="213">
        <f t="shared" si="175"/>
        <v>0</v>
      </c>
      <c r="AJ70" s="213">
        <f t="shared" si="175"/>
        <v>0</v>
      </c>
      <c r="AK70" s="213">
        <f t="shared" si="175"/>
        <v>0</v>
      </c>
      <c r="AL70" s="213">
        <f t="shared" si="175"/>
        <v>0</v>
      </c>
      <c r="AM70" s="213">
        <f t="shared" si="175"/>
        <v>0</v>
      </c>
      <c r="AN70" s="213">
        <f t="shared" si="175"/>
        <v>0</v>
      </c>
      <c r="AO70" s="213">
        <f t="shared" si="175"/>
        <v>0</v>
      </c>
      <c r="AP70" s="213">
        <f t="shared" si="175"/>
        <v>0</v>
      </c>
      <c r="AQ70" s="213">
        <f t="shared" si="175"/>
        <v>0</v>
      </c>
      <c r="AR70" s="213">
        <f t="shared" si="175"/>
        <v>0</v>
      </c>
      <c r="AS70" s="213">
        <f t="shared" si="175"/>
        <v>0</v>
      </c>
      <c r="AT70" s="213">
        <f t="shared" si="175"/>
        <v>0</v>
      </c>
      <c r="AU70" s="213">
        <f t="shared" si="175"/>
        <v>0</v>
      </c>
      <c r="AV70" s="213">
        <f t="shared" si="175"/>
        <v>0</v>
      </c>
      <c r="AW70" s="213">
        <f t="shared" si="175"/>
        <v>0</v>
      </c>
      <c r="AX70" s="213">
        <f t="shared" si="175"/>
        <v>0</v>
      </c>
      <c r="AY70" s="213">
        <f t="shared" si="175"/>
        <v>0</v>
      </c>
      <c r="AZ70" s="213">
        <f t="shared" si="175"/>
        <v>0</v>
      </c>
      <c r="BA70" s="213">
        <f t="shared" si="175"/>
        <v>0</v>
      </c>
      <c r="BB70" s="213">
        <f t="shared" si="175"/>
        <v>0</v>
      </c>
      <c r="BC70" s="213">
        <f t="shared" si="175"/>
        <v>0</v>
      </c>
      <c r="BD70" s="213">
        <f t="shared" si="175"/>
        <v>0</v>
      </c>
      <c r="BE70" s="213">
        <f t="shared" si="175"/>
        <v>0</v>
      </c>
      <c r="BF70" s="213">
        <f t="shared" si="175"/>
        <v>0</v>
      </c>
      <c r="BG70" s="213">
        <f t="shared" si="175"/>
        <v>0</v>
      </c>
      <c r="BH70" s="213">
        <f t="shared" si="175"/>
        <v>0</v>
      </c>
      <c r="BI70" s="213">
        <f t="shared" si="175"/>
        <v>0</v>
      </c>
    </row>
    <row r="71" spans="1:61">
      <c r="A71" s="218" t="s">
        <v>139</v>
      </c>
      <c r="B71" s="213">
        <f t="shared" ref="B71:AG71" si="176">ROUND(B53-B49-B43-B42-B37-B32-B24-B16-B8,2)</f>
        <v>0</v>
      </c>
      <c r="C71" s="213">
        <f t="shared" si="176"/>
        <v>0</v>
      </c>
      <c r="D71" s="213">
        <f t="shared" si="176"/>
        <v>0</v>
      </c>
      <c r="E71" s="213">
        <f t="shared" si="176"/>
        <v>0</v>
      </c>
      <c r="F71" s="213">
        <f t="shared" si="176"/>
        <v>0</v>
      </c>
      <c r="G71" s="213">
        <f t="shared" si="176"/>
        <v>0</v>
      </c>
      <c r="H71" s="213">
        <f t="shared" si="176"/>
        <v>0</v>
      </c>
      <c r="I71" s="213">
        <f t="shared" si="176"/>
        <v>0</v>
      </c>
      <c r="J71" s="213">
        <f t="shared" si="176"/>
        <v>0</v>
      </c>
      <c r="K71" s="213">
        <f t="shared" si="176"/>
        <v>0</v>
      </c>
      <c r="L71" s="213">
        <f t="shared" si="176"/>
        <v>0</v>
      </c>
      <c r="M71" s="213">
        <f t="shared" si="176"/>
        <v>0</v>
      </c>
      <c r="N71" s="213">
        <f t="shared" si="176"/>
        <v>0</v>
      </c>
      <c r="O71" s="213">
        <f t="shared" si="176"/>
        <v>0</v>
      </c>
      <c r="P71" s="213">
        <f t="shared" si="176"/>
        <v>0</v>
      </c>
      <c r="Q71" s="213">
        <f t="shared" si="176"/>
        <v>0</v>
      </c>
      <c r="R71" s="213">
        <f t="shared" si="176"/>
        <v>0</v>
      </c>
      <c r="S71" s="213">
        <f t="shared" si="176"/>
        <v>0</v>
      </c>
      <c r="T71" s="213">
        <f t="shared" si="176"/>
        <v>0</v>
      </c>
      <c r="U71" s="213">
        <f t="shared" si="176"/>
        <v>0</v>
      </c>
      <c r="V71" s="213">
        <f t="shared" si="176"/>
        <v>0</v>
      </c>
      <c r="W71" s="213">
        <f t="shared" si="176"/>
        <v>0</v>
      </c>
      <c r="X71" s="213">
        <f t="shared" si="176"/>
        <v>0</v>
      </c>
      <c r="Y71" s="213">
        <f t="shared" si="176"/>
        <v>0</v>
      </c>
      <c r="Z71" s="213">
        <f t="shared" si="176"/>
        <v>0</v>
      </c>
      <c r="AA71" s="213">
        <f t="shared" si="176"/>
        <v>0</v>
      </c>
      <c r="AB71" s="213">
        <f t="shared" si="176"/>
        <v>0</v>
      </c>
      <c r="AC71" s="213">
        <f t="shared" si="176"/>
        <v>0</v>
      </c>
      <c r="AD71" s="213">
        <f t="shared" si="176"/>
        <v>0</v>
      </c>
      <c r="AE71" s="213">
        <f t="shared" si="176"/>
        <v>0</v>
      </c>
      <c r="AF71" s="213">
        <f t="shared" si="176"/>
        <v>0</v>
      </c>
      <c r="AG71" s="213">
        <f t="shared" si="176"/>
        <v>0</v>
      </c>
      <c r="AH71" s="213">
        <f t="shared" ref="AH71:BI71" si="177">ROUND(AH53-AH49-AH43-AH42-AH37-AH32-AH24-AH16-AH8,2)</f>
        <v>0</v>
      </c>
      <c r="AI71" s="213">
        <f t="shared" si="177"/>
        <v>0</v>
      </c>
      <c r="AJ71" s="213">
        <f t="shared" si="177"/>
        <v>0</v>
      </c>
      <c r="AK71" s="213">
        <f t="shared" si="177"/>
        <v>0</v>
      </c>
      <c r="AL71" s="213">
        <f t="shared" si="177"/>
        <v>0</v>
      </c>
      <c r="AM71" s="213">
        <f t="shared" si="177"/>
        <v>0</v>
      </c>
      <c r="AN71" s="213">
        <f t="shared" si="177"/>
        <v>0</v>
      </c>
      <c r="AO71" s="213">
        <f t="shared" si="177"/>
        <v>0</v>
      </c>
      <c r="AP71" s="213">
        <f t="shared" si="177"/>
        <v>0</v>
      </c>
      <c r="AQ71" s="213">
        <f t="shared" si="177"/>
        <v>0</v>
      </c>
      <c r="AR71" s="213">
        <f t="shared" si="177"/>
        <v>0</v>
      </c>
      <c r="AS71" s="213">
        <f t="shared" si="177"/>
        <v>0</v>
      </c>
      <c r="AT71" s="213">
        <f t="shared" si="177"/>
        <v>0</v>
      </c>
      <c r="AU71" s="213">
        <f t="shared" si="177"/>
        <v>0</v>
      </c>
      <c r="AV71" s="213">
        <f t="shared" si="177"/>
        <v>0</v>
      </c>
      <c r="AW71" s="213">
        <f t="shared" si="177"/>
        <v>0</v>
      </c>
      <c r="AX71" s="213">
        <f t="shared" si="177"/>
        <v>0</v>
      </c>
      <c r="AY71" s="213">
        <f t="shared" si="177"/>
        <v>0</v>
      </c>
      <c r="AZ71" s="213">
        <f t="shared" si="177"/>
        <v>0</v>
      </c>
      <c r="BA71" s="213">
        <f t="shared" si="177"/>
        <v>0</v>
      </c>
      <c r="BB71" s="213">
        <f t="shared" si="177"/>
        <v>0</v>
      </c>
      <c r="BC71" s="213">
        <f t="shared" si="177"/>
        <v>0</v>
      </c>
      <c r="BD71" s="213">
        <f t="shared" si="177"/>
        <v>0</v>
      </c>
      <c r="BE71" s="213">
        <f t="shared" si="177"/>
        <v>0</v>
      </c>
      <c r="BF71" s="213">
        <f t="shared" si="177"/>
        <v>0</v>
      </c>
      <c r="BG71" s="213">
        <f t="shared" si="177"/>
        <v>0</v>
      </c>
      <c r="BH71" s="213">
        <f t="shared" si="177"/>
        <v>0</v>
      </c>
      <c r="BI71" s="213">
        <f t="shared" si="177"/>
        <v>0</v>
      </c>
    </row>
    <row r="72" spans="1:61">
      <c r="A72" s="211"/>
      <c r="B72" s="213"/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213"/>
      <c r="AM72" s="213"/>
      <c r="AN72" s="213"/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/>
      <c r="AZ72" s="213"/>
      <c r="BA72" s="213"/>
      <c r="BB72" s="213"/>
      <c r="BC72" s="213"/>
      <c r="BD72" s="213"/>
      <c r="BE72" s="213"/>
      <c r="BF72" s="213"/>
      <c r="BG72" s="213"/>
      <c r="BH72" s="213"/>
      <c r="BI72" s="213"/>
    </row>
  </sheetData>
  <sheetProtection formatCells="0" formatColumns="0" formatRows="0"/>
  <mergeCells count="11">
    <mergeCell ref="A5:A6"/>
    <mergeCell ref="AF5:AK5"/>
    <mergeCell ref="AL5:AQ5"/>
    <mergeCell ref="AR5:AW5"/>
    <mergeCell ref="AX5:BC5"/>
    <mergeCell ref="BD5:BI5"/>
    <mergeCell ref="B5:G5"/>
    <mergeCell ref="H5:M5"/>
    <mergeCell ref="N5:S5"/>
    <mergeCell ref="T5:Y5"/>
    <mergeCell ref="Z5:AE5"/>
  </mergeCells>
  <phoneticPr fontId="83" type="noConversion"/>
  <hyperlinks>
    <hyperlink ref="A1" location="目录!A1" display="开发成本明细表"/>
  </hyperlinks>
  <pageMargins left="0.15625" right="0.15625" top="0.74791666666666701" bottom="0.74791666666666701" header="0.31388888888888899" footer="0.31388888888888899"/>
  <pageSetup paperSize="9" scale="70" orientation="landscape" r:id="rId1"/>
  <colBreaks count="1" manualBreakCount="1">
    <brk id="19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V67"/>
  <sheetViews>
    <sheetView workbookViewId="0">
      <pane xSplit="14" ySplit="6" topLeftCell="BH7" activePane="bottomRight" state="frozen"/>
      <selection pane="topRight"/>
      <selection pane="bottomLeft"/>
      <selection pane="bottomRight" activeCell="BS47" sqref="BS47"/>
    </sheetView>
  </sheetViews>
  <sheetFormatPr defaultColWidth="8.25" defaultRowHeight="13.5" outlineLevelRow="1" outlineLevelCol="1"/>
  <cols>
    <col min="1" max="1" width="5.5" style="146" customWidth="1"/>
    <col min="2" max="2" width="15.5" style="147" customWidth="1"/>
    <col min="3" max="3" width="13.125" style="147" customWidth="1"/>
    <col min="4" max="4" width="8.625" style="147" customWidth="1"/>
    <col min="5" max="9" width="8.625" style="147" hidden="1" customWidth="1" outlineLevel="1"/>
    <col min="10" max="10" width="12.375" style="147" customWidth="1" collapsed="1"/>
    <col min="11" max="14" width="8.625" style="147" customWidth="1"/>
    <col min="15" max="15" width="8.625" style="146" customWidth="1"/>
    <col min="16" max="18" width="8.625" style="148" customWidth="1" outlineLevel="1"/>
    <col min="19" max="19" width="8.625" style="146" customWidth="1" outlineLevel="1"/>
    <col min="20" max="20" width="8.625" style="146" customWidth="1"/>
    <col min="21" max="23" width="8.625" style="148" customWidth="1" outlineLevel="1"/>
    <col min="24" max="24" width="8.625" style="146" customWidth="1" outlineLevel="1"/>
    <col min="25" max="25" width="8.625" style="146" customWidth="1"/>
    <col min="26" max="28" width="8.625" style="148" customWidth="1" outlineLevel="1"/>
    <col min="29" max="29" width="8.625" style="146" customWidth="1" outlineLevel="1"/>
    <col min="30" max="30" width="8.625" style="146" customWidth="1"/>
    <col min="31" max="33" width="8.625" style="148" customWidth="1" outlineLevel="1"/>
    <col min="34" max="34" width="8.625" style="146" customWidth="1" outlineLevel="1"/>
    <col min="35" max="35" width="8.625" style="146" customWidth="1"/>
    <col min="36" max="38" width="8.625" style="148" customWidth="1" outlineLevel="1"/>
    <col min="39" max="39" width="8.625" style="146" customWidth="1" outlineLevel="1"/>
    <col min="40" max="40" width="8.625" style="146" customWidth="1"/>
    <col min="41" max="43" width="8.625" style="148" customWidth="1" outlineLevel="1"/>
    <col min="44" max="44" width="8.625" style="146" customWidth="1" outlineLevel="1"/>
    <col min="45" max="45" width="8.625" style="146" customWidth="1"/>
    <col min="46" max="48" width="8.625" style="148" customWidth="1" outlineLevel="1"/>
    <col min="49" max="49" width="8.625" style="146" customWidth="1" outlineLevel="1"/>
    <col min="50" max="50" width="8.625" style="146" customWidth="1"/>
    <col min="51" max="53" width="8.625" style="148" customWidth="1" outlineLevel="1"/>
    <col min="54" max="54" width="8.625" style="146" customWidth="1" outlineLevel="1"/>
    <col min="55" max="55" width="8.625" style="146" customWidth="1"/>
    <col min="56" max="58" width="8.625" style="148" customWidth="1" outlineLevel="1"/>
    <col min="59" max="59" width="8.625" style="146" customWidth="1" outlineLevel="1"/>
    <col min="60" max="60" width="8.625" style="146" customWidth="1"/>
    <col min="61" max="63" width="8.625" style="148" customWidth="1" outlineLevel="1"/>
    <col min="64" max="64" width="8.625" style="146" customWidth="1" outlineLevel="1"/>
    <col min="65" max="65" width="8.625" style="146" customWidth="1"/>
    <col min="66" max="68" width="8.625" style="148" customWidth="1" outlineLevel="1"/>
    <col min="69" max="69" width="8.625" style="146" customWidth="1" outlineLevel="1"/>
    <col min="70" max="70" width="8.625" style="146" customWidth="1"/>
    <col min="71" max="73" width="8.625" style="148" customWidth="1" outlineLevel="1"/>
    <col min="74" max="74" width="8.625" style="146" customWidth="1" outlineLevel="1"/>
    <col min="75" max="16384" width="8.25" style="147"/>
  </cols>
  <sheetData>
    <row r="1" spans="1:74" s="139" customFormat="1" ht="18.75">
      <c r="A1" s="1" t="s">
        <v>602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88"/>
      <c r="R1" s="188"/>
      <c r="S1" s="149"/>
      <c r="T1" s="149"/>
      <c r="U1" s="149"/>
      <c r="V1" s="188"/>
      <c r="W1" s="188"/>
      <c r="X1" s="149"/>
      <c r="Y1" s="149"/>
      <c r="Z1" s="149"/>
      <c r="AA1" s="188"/>
      <c r="AB1" s="188"/>
      <c r="AC1" s="149"/>
      <c r="AD1" s="149"/>
      <c r="AE1" s="149"/>
      <c r="AF1" s="188"/>
      <c r="AG1" s="188"/>
      <c r="AH1" s="149"/>
      <c r="AI1" s="149"/>
      <c r="AJ1" s="149"/>
      <c r="AK1" s="188"/>
      <c r="AL1" s="188"/>
      <c r="AM1" s="149"/>
      <c r="AN1" s="149"/>
      <c r="AO1" s="149"/>
      <c r="AP1" s="188"/>
      <c r="AQ1" s="188"/>
      <c r="AR1" s="149"/>
      <c r="AS1" s="149"/>
      <c r="AT1" s="149"/>
      <c r="AU1" s="188"/>
      <c r="AV1" s="188"/>
      <c r="AW1" s="149"/>
      <c r="AX1" s="149"/>
      <c r="AY1" s="149"/>
      <c r="AZ1" s="188"/>
      <c r="BA1" s="188"/>
      <c r="BB1" s="149"/>
      <c r="BC1" s="149"/>
      <c r="BD1" s="149"/>
      <c r="BE1" s="188"/>
      <c r="BF1" s="188"/>
      <c r="BG1" s="149"/>
      <c r="BH1" s="149"/>
      <c r="BI1" s="149"/>
      <c r="BJ1" s="188"/>
      <c r="BK1" s="188"/>
      <c r="BL1" s="149"/>
      <c r="BM1" s="149"/>
      <c r="BN1" s="149"/>
      <c r="BO1" s="188"/>
      <c r="BP1" s="188"/>
      <c r="BQ1" s="149"/>
      <c r="BR1" s="149"/>
      <c r="BS1" s="149"/>
      <c r="BT1" s="188"/>
      <c r="BU1" s="188"/>
      <c r="BV1" s="149"/>
    </row>
    <row r="2" spans="1:74" s="140" customFormat="1">
      <c r="A2" s="65" t="str">
        <f>"编制单位："&amp;编制说明及审核公式!$C$2</f>
        <v>编制单位：上海丰泰置业有限公司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78"/>
      <c r="BS2" s="178"/>
      <c r="BT2" s="178"/>
      <c r="BU2" s="178"/>
      <c r="BV2" s="178"/>
    </row>
    <row r="3" spans="1:74" s="141" customFormat="1">
      <c r="A3" s="65" t="str">
        <f>"日期："&amp;编制说明及审核公式!$C$3</f>
        <v>日期：2020年12月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79"/>
      <c r="BJ3" s="179"/>
      <c r="BK3" s="179"/>
      <c r="BL3" s="179"/>
      <c r="BM3" s="179"/>
      <c r="BN3" s="179"/>
      <c r="BO3" s="179"/>
      <c r="BP3" s="179"/>
      <c r="BQ3" s="179"/>
      <c r="BR3" s="179"/>
      <c r="BS3" s="179"/>
      <c r="BT3" s="179"/>
      <c r="BU3" s="179"/>
      <c r="BV3" s="179"/>
    </row>
    <row r="4" spans="1:74" s="142" customFormat="1">
      <c r="A4" s="65" t="s">
        <v>175</v>
      </c>
      <c r="B4" s="152"/>
      <c r="C4" s="152"/>
      <c r="D4" s="152"/>
      <c r="E4" s="152"/>
      <c r="F4" s="152"/>
      <c r="G4" s="152"/>
      <c r="H4" s="152"/>
      <c r="I4" s="152"/>
      <c r="J4" s="180"/>
      <c r="K4" s="152"/>
      <c r="L4" s="152"/>
      <c r="M4" s="152"/>
      <c r="N4" s="152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1"/>
      <c r="BD4" s="181"/>
      <c r="BE4" s="181"/>
      <c r="BF4" s="181"/>
      <c r="BG4" s="181"/>
      <c r="BH4" s="181"/>
      <c r="BI4" s="181"/>
      <c r="BJ4" s="181"/>
      <c r="BK4" s="181"/>
      <c r="BL4" s="181"/>
      <c r="BM4" s="181"/>
      <c r="BN4" s="181"/>
      <c r="BO4" s="181"/>
      <c r="BP4" s="181"/>
      <c r="BQ4" s="181"/>
      <c r="BR4" s="181"/>
      <c r="BS4" s="181"/>
      <c r="BT4" s="181"/>
      <c r="BU4" s="181"/>
      <c r="BV4" s="181"/>
    </row>
    <row r="5" spans="1:74" s="141" customFormat="1" ht="18" customHeight="1">
      <c r="A5" s="412" t="s">
        <v>471</v>
      </c>
      <c r="B5" s="412" t="s">
        <v>603</v>
      </c>
      <c r="C5" s="412" t="s">
        <v>604</v>
      </c>
      <c r="D5" s="414" t="s">
        <v>605</v>
      </c>
      <c r="E5" s="415" t="s">
        <v>271</v>
      </c>
      <c r="F5" s="416"/>
      <c r="G5" s="416"/>
      <c r="H5" s="416"/>
      <c r="I5" s="417"/>
      <c r="J5" s="418" t="s">
        <v>474</v>
      </c>
      <c r="K5" s="419"/>
      <c r="L5" s="419"/>
      <c r="M5" s="419"/>
      <c r="N5" s="420"/>
      <c r="O5" s="415" t="s">
        <v>475</v>
      </c>
      <c r="P5" s="416"/>
      <c r="Q5" s="416"/>
      <c r="R5" s="416"/>
      <c r="S5" s="417"/>
      <c r="T5" s="415" t="s">
        <v>476</v>
      </c>
      <c r="U5" s="416"/>
      <c r="V5" s="416"/>
      <c r="W5" s="416"/>
      <c r="X5" s="417"/>
      <c r="Y5" s="415" t="s">
        <v>477</v>
      </c>
      <c r="Z5" s="416"/>
      <c r="AA5" s="416"/>
      <c r="AB5" s="416"/>
      <c r="AC5" s="417"/>
      <c r="AD5" s="415" t="s">
        <v>478</v>
      </c>
      <c r="AE5" s="416"/>
      <c r="AF5" s="416"/>
      <c r="AG5" s="416"/>
      <c r="AH5" s="417"/>
      <c r="AI5" s="415" t="s">
        <v>479</v>
      </c>
      <c r="AJ5" s="416"/>
      <c r="AK5" s="416"/>
      <c r="AL5" s="416"/>
      <c r="AM5" s="417"/>
      <c r="AN5" s="415" t="s">
        <v>480</v>
      </c>
      <c r="AO5" s="416"/>
      <c r="AP5" s="416"/>
      <c r="AQ5" s="416"/>
      <c r="AR5" s="417"/>
      <c r="AS5" s="415" t="s">
        <v>481</v>
      </c>
      <c r="AT5" s="416"/>
      <c r="AU5" s="416"/>
      <c r="AV5" s="416"/>
      <c r="AW5" s="417"/>
      <c r="AX5" s="415" t="s">
        <v>482</v>
      </c>
      <c r="AY5" s="416"/>
      <c r="AZ5" s="416"/>
      <c r="BA5" s="416"/>
      <c r="BB5" s="417"/>
      <c r="BC5" s="415" t="s">
        <v>483</v>
      </c>
      <c r="BD5" s="416"/>
      <c r="BE5" s="416"/>
      <c r="BF5" s="416"/>
      <c r="BG5" s="417"/>
      <c r="BH5" s="415" t="s">
        <v>484</v>
      </c>
      <c r="BI5" s="416"/>
      <c r="BJ5" s="416"/>
      <c r="BK5" s="416"/>
      <c r="BL5" s="417"/>
      <c r="BM5" s="415" t="s">
        <v>485</v>
      </c>
      <c r="BN5" s="416"/>
      <c r="BO5" s="416"/>
      <c r="BP5" s="416"/>
      <c r="BQ5" s="417"/>
      <c r="BR5" s="415" t="s">
        <v>486</v>
      </c>
      <c r="BS5" s="416"/>
      <c r="BT5" s="416"/>
      <c r="BU5" s="416"/>
      <c r="BV5" s="417"/>
    </row>
    <row r="6" spans="1:74" ht="24">
      <c r="A6" s="413"/>
      <c r="B6" s="413"/>
      <c r="C6" s="413"/>
      <c r="D6" s="413"/>
      <c r="E6" s="153" t="s">
        <v>606</v>
      </c>
      <c r="F6" s="154" t="s">
        <v>301</v>
      </c>
      <c r="G6" s="154" t="s">
        <v>302</v>
      </c>
      <c r="H6" s="153" t="s">
        <v>303</v>
      </c>
      <c r="I6" s="154" t="s">
        <v>607</v>
      </c>
      <c r="J6" s="154" t="s">
        <v>608</v>
      </c>
      <c r="K6" s="154" t="s">
        <v>609</v>
      </c>
      <c r="L6" s="154" t="s">
        <v>610</v>
      </c>
      <c r="M6" s="153" t="s">
        <v>303</v>
      </c>
      <c r="N6" s="154" t="s">
        <v>611</v>
      </c>
      <c r="O6" s="153" t="s">
        <v>606</v>
      </c>
      <c r="P6" s="154" t="s">
        <v>301</v>
      </c>
      <c r="Q6" s="154" t="s">
        <v>302</v>
      </c>
      <c r="R6" s="153" t="s">
        <v>303</v>
      </c>
      <c r="S6" s="154" t="s">
        <v>607</v>
      </c>
      <c r="T6" s="153" t="s">
        <v>606</v>
      </c>
      <c r="U6" s="154" t="s">
        <v>301</v>
      </c>
      <c r="V6" s="154" t="s">
        <v>302</v>
      </c>
      <c r="W6" s="153" t="s">
        <v>303</v>
      </c>
      <c r="X6" s="154" t="s">
        <v>607</v>
      </c>
      <c r="Y6" s="153" t="s">
        <v>606</v>
      </c>
      <c r="Z6" s="154" t="s">
        <v>301</v>
      </c>
      <c r="AA6" s="154" t="s">
        <v>302</v>
      </c>
      <c r="AB6" s="153" t="s">
        <v>303</v>
      </c>
      <c r="AC6" s="154" t="s">
        <v>607</v>
      </c>
      <c r="AD6" s="153" t="s">
        <v>606</v>
      </c>
      <c r="AE6" s="154" t="s">
        <v>301</v>
      </c>
      <c r="AF6" s="154" t="s">
        <v>302</v>
      </c>
      <c r="AG6" s="153" t="s">
        <v>303</v>
      </c>
      <c r="AH6" s="154" t="s">
        <v>607</v>
      </c>
      <c r="AI6" s="153" t="s">
        <v>606</v>
      </c>
      <c r="AJ6" s="154" t="s">
        <v>301</v>
      </c>
      <c r="AK6" s="154" t="s">
        <v>302</v>
      </c>
      <c r="AL6" s="153" t="s">
        <v>303</v>
      </c>
      <c r="AM6" s="154" t="s">
        <v>607</v>
      </c>
      <c r="AN6" s="153" t="s">
        <v>606</v>
      </c>
      <c r="AO6" s="154" t="s">
        <v>301</v>
      </c>
      <c r="AP6" s="154" t="s">
        <v>302</v>
      </c>
      <c r="AQ6" s="153" t="s">
        <v>303</v>
      </c>
      <c r="AR6" s="154" t="s">
        <v>607</v>
      </c>
      <c r="AS6" s="153" t="s">
        <v>606</v>
      </c>
      <c r="AT6" s="154" t="s">
        <v>301</v>
      </c>
      <c r="AU6" s="154" t="s">
        <v>302</v>
      </c>
      <c r="AV6" s="153" t="s">
        <v>303</v>
      </c>
      <c r="AW6" s="154" t="s">
        <v>607</v>
      </c>
      <c r="AX6" s="153" t="s">
        <v>606</v>
      </c>
      <c r="AY6" s="154" t="s">
        <v>301</v>
      </c>
      <c r="AZ6" s="154" t="s">
        <v>302</v>
      </c>
      <c r="BA6" s="153" t="s">
        <v>303</v>
      </c>
      <c r="BB6" s="154" t="s">
        <v>607</v>
      </c>
      <c r="BC6" s="153" t="s">
        <v>606</v>
      </c>
      <c r="BD6" s="154" t="s">
        <v>301</v>
      </c>
      <c r="BE6" s="154" t="s">
        <v>302</v>
      </c>
      <c r="BF6" s="153" t="s">
        <v>303</v>
      </c>
      <c r="BG6" s="154" t="s">
        <v>607</v>
      </c>
      <c r="BH6" s="153" t="s">
        <v>606</v>
      </c>
      <c r="BI6" s="154" t="s">
        <v>301</v>
      </c>
      <c r="BJ6" s="154" t="s">
        <v>302</v>
      </c>
      <c r="BK6" s="153" t="s">
        <v>303</v>
      </c>
      <c r="BL6" s="154" t="s">
        <v>607</v>
      </c>
      <c r="BM6" s="153" t="s">
        <v>606</v>
      </c>
      <c r="BN6" s="154" t="s">
        <v>301</v>
      </c>
      <c r="BO6" s="154" t="s">
        <v>302</v>
      </c>
      <c r="BP6" s="153" t="s">
        <v>303</v>
      </c>
      <c r="BQ6" s="154" t="s">
        <v>607</v>
      </c>
      <c r="BR6" s="153" t="s">
        <v>606</v>
      </c>
      <c r="BS6" s="154" t="s">
        <v>301</v>
      </c>
      <c r="BT6" s="154" t="s">
        <v>302</v>
      </c>
      <c r="BU6" s="153" t="s">
        <v>303</v>
      </c>
      <c r="BV6" s="154" t="s">
        <v>607</v>
      </c>
    </row>
    <row r="7" spans="1:74" s="143" customFormat="1" ht="15.95" customHeight="1">
      <c r="A7" s="155">
        <v>1</v>
      </c>
      <c r="B7" s="156" t="s">
        <v>612</v>
      </c>
      <c r="C7" s="157"/>
      <c r="D7" s="158">
        <f>IFERROR(J7/C7,0)</f>
        <v>0</v>
      </c>
      <c r="E7" s="159">
        <f>INDEX($O7:$BV7,MATCH(--MID($A$3,9,2)&amp;"月",$O$5:$BV$5,))</f>
        <v>206926.05000000016</v>
      </c>
      <c r="F7" s="159">
        <f>INDEX($O7:$BV7,MATCH(--MID($A$3,9,2)&amp;"月",$O$5:$BV$5,)+1)</f>
        <v>0</v>
      </c>
      <c r="G7" s="159">
        <f>INDEX($O7:$BV7,MATCH(--MID($A$3,9,2)&amp;"月",$O$5:$BV$5,)+2)</f>
        <v>124048.77000000016</v>
      </c>
      <c r="H7" s="159">
        <f>INDEX($O7:$BV7,MATCH(--MID($A$3,9,2)&amp;"月",$O$5:$BV$5,)+3)</f>
        <v>0</v>
      </c>
      <c r="I7" s="159">
        <f>INDEX($O7:$BV7,MATCH(--MID($A$3,9,2)&amp;"月",$O$5:$BV$5,)+4)</f>
        <v>82877.279999999999</v>
      </c>
      <c r="J7" s="159">
        <f t="shared" ref="J7:J38" si="0">SUM(K7:N7)</f>
        <v>8569081.9299999997</v>
      </c>
      <c r="K7" s="159">
        <f>SUMIF($P$6:$BV$6,K$6,$P7:$BV7)</f>
        <v>551451.82999999996</v>
      </c>
      <c r="L7" s="159">
        <f t="shared" ref="L7:N22" si="1">SUMIF($P$6:$BV$6,L$6,$P7:$BV7)</f>
        <v>3932164.16</v>
      </c>
      <c r="M7" s="159">
        <f t="shared" si="1"/>
        <v>0</v>
      </c>
      <c r="N7" s="159">
        <f t="shared" si="1"/>
        <v>4085465.9399999995</v>
      </c>
      <c r="O7" s="182">
        <f>SUM(P7:S7)</f>
        <v>1923397.29</v>
      </c>
      <c r="P7" s="159">
        <f>SUM(P8:P12)</f>
        <v>180330.94</v>
      </c>
      <c r="Q7" s="159">
        <f t="shared" ref="Q7:S7" si="2">SUM(Q8:Q12)</f>
        <v>554799.24</v>
      </c>
      <c r="R7" s="159">
        <f t="shared" si="2"/>
        <v>0</v>
      </c>
      <c r="S7" s="159">
        <f t="shared" si="2"/>
        <v>1188267.1100000001</v>
      </c>
      <c r="T7" s="182">
        <f>SUM(U7:X7)</f>
        <v>915170.69000000006</v>
      </c>
      <c r="U7" s="159">
        <f>SUM(U8:U12)</f>
        <v>90947.53</v>
      </c>
      <c r="V7" s="159">
        <f t="shared" ref="V7:W7" si="3">SUM(V8:V12)</f>
        <v>306251.64</v>
      </c>
      <c r="W7" s="159">
        <f t="shared" si="3"/>
        <v>0</v>
      </c>
      <c r="X7" s="159">
        <f t="shared" ref="X7" si="4">SUM(X8:X12)</f>
        <v>517971.52</v>
      </c>
      <c r="Y7" s="182">
        <f>SUM(Z7:AC7)</f>
        <v>991644.39</v>
      </c>
      <c r="Z7" s="159">
        <f>SUM(Z8:Z12)</f>
        <v>88447.53</v>
      </c>
      <c r="AA7" s="159">
        <f t="shared" ref="AA7:AB7" si="5">SUM(AA8:AA12)</f>
        <v>450023.32</v>
      </c>
      <c r="AB7" s="159">
        <f t="shared" si="5"/>
        <v>0</v>
      </c>
      <c r="AC7" s="159">
        <f t="shared" ref="AC7" si="6">SUM(AC8:AC12)</f>
        <v>453173.54000000004</v>
      </c>
      <c r="AD7" s="182">
        <f>SUM(AE7:AH7)</f>
        <v>771026.41</v>
      </c>
      <c r="AE7" s="159">
        <f>SUM(AE8:AE12)</f>
        <v>55057.130000000005</v>
      </c>
      <c r="AF7" s="159">
        <f t="shared" ref="AF7:AG7" si="7">SUM(AF8:AF12)</f>
        <v>479887.92000000004</v>
      </c>
      <c r="AG7" s="159">
        <f t="shared" si="7"/>
        <v>0</v>
      </c>
      <c r="AH7" s="159">
        <f t="shared" ref="AH7" si="8">SUM(AH8:AH12)</f>
        <v>236081.36</v>
      </c>
      <c r="AI7" s="182">
        <f>SUM(AJ7:AM7)</f>
        <v>592845.43999999994</v>
      </c>
      <c r="AJ7" s="159">
        <f>SUM(AJ8:AJ12)</f>
        <v>77770.709999999992</v>
      </c>
      <c r="AK7" s="159">
        <f t="shared" ref="AK7:AL7" si="9">SUM(AK8:AK12)</f>
        <v>201731.25</v>
      </c>
      <c r="AL7" s="159">
        <f t="shared" si="9"/>
        <v>0</v>
      </c>
      <c r="AM7" s="159">
        <f t="shared" ref="AM7" si="10">SUM(AM8:AM12)</f>
        <v>313343.48</v>
      </c>
      <c r="AN7" s="182">
        <f>SUM(AO7:AR7)</f>
        <v>1082007.8900000001</v>
      </c>
      <c r="AO7" s="159">
        <f>SUM(AO8:AO12)</f>
        <v>58897.990000000027</v>
      </c>
      <c r="AP7" s="159">
        <f t="shared" ref="AP7:AQ7" si="11">SUM(AP8:AP12)</f>
        <v>746183.75</v>
      </c>
      <c r="AQ7" s="159">
        <f t="shared" si="11"/>
        <v>0</v>
      </c>
      <c r="AR7" s="159">
        <f t="shared" ref="AR7" si="12">SUM(AR8:AR12)</f>
        <v>276926.15000000002</v>
      </c>
      <c r="AS7" s="182">
        <f>SUM(AT7:AW7)</f>
        <v>713212.91999999993</v>
      </c>
      <c r="AT7" s="159">
        <f>SUM(AT8:AT12)</f>
        <v>0</v>
      </c>
      <c r="AU7" s="159">
        <f t="shared" ref="AU7:AV7" si="13">SUM(AU8:AU12)</f>
        <v>459684.25</v>
      </c>
      <c r="AV7" s="159">
        <f t="shared" si="13"/>
        <v>0</v>
      </c>
      <c r="AW7" s="159">
        <f t="shared" ref="AW7" si="14">SUM(AW8:AW12)</f>
        <v>253528.66999999998</v>
      </c>
      <c r="AX7" s="182">
        <f>SUM(AY7:BB7)</f>
        <v>382088.08000000025</v>
      </c>
      <c r="AY7" s="159">
        <f>SUM(AY8:AY12)</f>
        <v>0</v>
      </c>
      <c r="AZ7" s="159">
        <f>SUM(AZ8:AZ12)</f>
        <v>168550.10000000027</v>
      </c>
      <c r="BA7" s="159">
        <f t="shared" ref="BA7" si="15">SUM(BA8:BA12)</f>
        <v>0</v>
      </c>
      <c r="BB7" s="159">
        <f t="shared" ref="BB7" si="16">SUM(BB8:BB12)</f>
        <v>213537.97999999998</v>
      </c>
      <c r="BC7" s="182">
        <f>SUM(BD7:BG7)</f>
        <v>382078.56000000006</v>
      </c>
      <c r="BD7" s="159">
        <f>SUM(BD8:BD12)</f>
        <v>0</v>
      </c>
      <c r="BE7" s="159">
        <f t="shared" ref="BE7:BF7" si="17">SUM(BE8:BE12)</f>
        <v>168540.58000000007</v>
      </c>
      <c r="BF7" s="159">
        <f t="shared" si="17"/>
        <v>0</v>
      </c>
      <c r="BG7" s="159">
        <f t="shared" ref="BG7" si="18">SUM(BG8:BG12)</f>
        <v>213537.97999999998</v>
      </c>
      <c r="BH7" s="182">
        <f>SUM(BI7:BL7)</f>
        <v>326135.85999999987</v>
      </c>
      <c r="BI7" s="159">
        <f>SUM(BI8:BI12)</f>
        <v>0</v>
      </c>
      <c r="BJ7" s="159">
        <f t="shared" ref="BJ7:BK7" si="19">SUM(BJ8:BJ12)</f>
        <v>131121.93999999989</v>
      </c>
      <c r="BK7" s="159">
        <f t="shared" si="19"/>
        <v>0</v>
      </c>
      <c r="BL7" s="159">
        <f t="shared" ref="BL7" si="20">SUM(BL8:BL12)</f>
        <v>195013.92</v>
      </c>
      <c r="BM7" s="182">
        <f>SUM(BN7:BQ7)</f>
        <v>282548.3499999998</v>
      </c>
      <c r="BN7" s="159">
        <f>SUM(BN8:BN12)</f>
        <v>0</v>
      </c>
      <c r="BO7" s="159">
        <f t="shared" ref="BO7:BP7" si="21">SUM(BO8:BO12)</f>
        <v>141341.39999999979</v>
      </c>
      <c r="BP7" s="159">
        <f t="shared" si="21"/>
        <v>0</v>
      </c>
      <c r="BQ7" s="159">
        <f t="shared" ref="BQ7" si="22">SUM(BQ8:BQ12)</f>
        <v>141206.95000000001</v>
      </c>
      <c r="BR7" s="182">
        <f>SUM(BS7:BV7)</f>
        <v>206926.05000000016</v>
      </c>
      <c r="BS7" s="159">
        <f>SUM(BS8:BS12)</f>
        <v>0</v>
      </c>
      <c r="BT7" s="159">
        <f t="shared" ref="BT7:BU7" si="23">SUM(BT8:BT12)</f>
        <v>124048.77000000016</v>
      </c>
      <c r="BU7" s="159">
        <f t="shared" si="23"/>
        <v>0</v>
      </c>
      <c r="BV7" s="159">
        <f t="shared" ref="BV7" si="24">SUM(BV8:BV12)</f>
        <v>82877.279999999999</v>
      </c>
    </row>
    <row r="8" spans="1:74" s="144" customFormat="1" ht="15.95" customHeight="1" outlineLevel="1">
      <c r="A8" s="160">
        <v>1.1000000000000001</v>
      </c>
      <c r="B8" s="161" t="s">
        <v>613</v>
      </c>
      <c r="C8" s="162"/>
      <c r="D8" s="163">
        <f t="shared" ref="D8:D56" si="25">IFERROR(J8/C8,0)</f>
        <v>0</v>
      </c>
      <c r="E8" s="164">
        <f t="shared" ref="E8:E56" si="26">INDEX($O8:$BV8,MATCH(--MID($A$3,9,2)&amp;"月",$O$5:$BV$5,))</f>
        <v>176461.15000000014</v>
      </c>
      <c r="F8" s="164">
        <f t="shared" ref="F8:F56" si="27">INDEX($O8:$BV8,MATCH(--MID($A$3,9,2)&amp;"月",$O$5:$BV$5,)+1)</f>
        <v>0</v>
      </c>
      <c r="G8" s="164">
        <f t="shared" ref="G8:G56" si="28">INDEX($O8:$BV8,MATCH(--MID($A$3,9,2)&amp;"月",$O$5:$BV$5,)+2)</f>
        <v>105509.27000000014</v>
      </c>
      <c r="H8" s="164" t="str">
        <f t="shared" ref="H8:H56" si="29">INDEX($O8:$BV8,MATCH(--MID($A$3,9,2)&amp;"月",$O$5:$BV$5,)+3)</f>
        <v>——</v>
      </c>
      <c r="I8" s="164">
        <f t="shared" ref="I8:I56" si="30">INDEX($O8:$BV8,MATCH(--MID($A$3,9,2)&amp;"月",$O$5:$BV$5,)+4)</f>
        <v>70951.88</v>
      </c>
      <c r="J8" s="164">
        <f t="shared" si="0"/>
        <v>6743801.5299999993</v>
      </c>
      <c r="K8" s="164">
        <f t="shared" ref="K8:N39" si="31">SUMIF($P$6:$BV$6,K$6,$P8:$BV8)</f>
        <v>407347.28</v>
      </c>
      <c r="L8" s="164">
        <f t="shared" si="1"/>
        <v>3369775.21</v>
      </c>
      <c r="M8" s="164">
        <f t="shared" si="1"/>
        <v>0</v>
      </c>
      <c r="N8" s="164">
        <f t="shared" si="1"/>
        <v>2966679.0399999996</v>
      </c>
      <c r="O8" s="183">
        <f t="shared" ref="O8:O56" si="32">SUM(P8:S8)</f>
        <v>703794.69</v>
      </c>
      <c r="P8" s="184">
        <v>70930</v>
      </c>
      <c r="Q8" s="184">
        <v>237371.8</v>
      </c>
      <c r="R8" s="183" t="s">
        <v>180</v>
      </c>
      <c r="S8" s="184">
        <v>395492.89</v>
      </c>
      <c r="T8" s="183">
        <f t="shared" ref="T8:T56" si="33">SUM(U8:X8)</f>
        <v>710802.19</v>
      </c>
      <c r="U8" s="184">
        <v>71060</v>
      </c>
      <c r="V8" s="184">
        <v>236489.3</v>
      </c>
      <c r="W8" s="183" t="s">
        <v>180</v>
      </c>
      <c r="X8" s="184">
        <v>403252.89</v>
      </c>
      <c r="Y8" s="183">
        <f t="shared" ref="Y8:Y56" si="34">SUM(Z8:AC8)</f>
        <v>800852.27</v>
      </c>
      <c r="Z8" s="184">
        <v>68560</v>
      </c>
      <c r="AA8" s="184">
        <f>225908.96+159490.42</f>
        <v>385399.38</v>
      </c>
      <c r="AB8" s="183" t="s">
        <v>180</v>
      </c>
      <c r="AC8" s="184">
        <v>346892.89</v>
      </c>
      <c r="AD8" s="183">
        <f t="shared" ref="AD8:AD56" si="35">SUM(AE8:AH8)</f>
        <v>963935.53</v>
      </c>
      <c r="AE8" s="184">
        <v>74010</v>
      </c>
      <c r="AF8" s="184">
        <f>168355.95+376786.7</f>
        <v>545142.65</v>
      </c>
      <c r="AG8" s="183" t="s">
        <v>180</v>
      </c>
      <c r="AH8" s="184">
        <v>344782.88</v>
      </c>
      <c r="AI8" s="183">
        <f t="shared" ref="AI8:AI56" si="36">SUM(AJ8:AM8)</f>
        <v>537010.43999999994</v>
      </c>
      <c r="AJ8" s="184">
        <v>70830</v>
      </c>
      <c r="AK8" s="184">
        <v>181635.5</v>
      </c>
      <c r="AL8" s="183" t="s">
        <v>180</v>
      </c>
      <c r="AM8" s="184">
        <v>284544.94</v>
      </c>
      <c r="AN8" s="183">
        <f t="shared" ref="AN8:AN56" si="37">SUM(AO8:AR8)</f>
        <v>1026172.89</v>
      </c>
      <c r="AO8" s="184">
        <v>51957.280000000028</v>
      </c>
      <c r="AP8" s="184">
        <f>165120.96+560967.04</f>
        <v>726088</v>
      </c>
      <c r="AQ8" s="183" t="s">
        <v>180</v>
      </c>
      <c r="AR8" s="184">
        <v>248127.61</v>
      </c>
      <c r="AS8" s="183">
        <f t="shared" ref="AS8:AS56" si="38">SUM(AT8:AW8)</f>
        <v>653641.62</v>
      </c>
      <c r="AT8" s="184"/>
      <c r="AU8" s="184">
        <f>158585.14+274821.73</f>
        <v>433406.87</v>
      </c>
      <c r="AV8" s="183" t="s">
        <v>180</v>
      </c>
      <c r="AW8" s="184">
        <v>220234.75</v>
      </c>
      <c r="AX8" s="183">
        <f t="shared" ref="AX8:AX56" si="39">SUM(AY8:BB8)</f>
        <v>322516.78000000026</v>
      </c>
      <c r="AY8" s="184"/>
      <c r="AZ8" s="184">
        <v>142272.72000000026</v>
      </c>
      <c r="BA8" s="183" t="s">
        <v>180</v>
      </c>
      <c r="BB8" s="184">
        <v>180244.06</v>
      </c>
      <c r="BC8" s="183">
        <f t="shared" ref="BC8:BC56" si="40">SUM(BD8:BG8)</f>
        <v>322507.26000000007</v>
      </c>
      <c r="BD8" s="184"/>
      <c r="BE8" s="184">
        <v>142263.20000000007</v>
      </c>
      <c r="BF8" s="183" t="s">
        <v>180</v>
      </c>
      <c r="BG8" s="184">
        <v>180244.06</v>
      </c>
      <c r="BH8" s="183">
        <f t="shared" ref="BH8:BH56" si="41">SUM(BI8:BL8)</f>
        <v>285615.55999999988</v>
      </c>
      <c r="BI8" s="184"/>
      <c r="BJ8" s="184">
        <v>114370.11999999988</v>
      </c>
      <c r="BK8" s="183" t="s">
        <v>180</v>
      </c>
      <c r="BL8" s="184">
        <v>171245.44</v>
      </c>
      <c r="BM8" s="183">
        <f t="shared" ref="BM8:BM56" si="42">SUM(BN8:BQ8)</f>
        <v>240491.14999999979</v>
      </c>
      <c r="BN8" s="184"/>
      <c r="BO8" s="184">
        <v>119826.39999999979</v>
      </c>
      <c r="BP8" s="183" t="s">
        <v>180</v>
      </c>
      <c r="BQ8" s="184">
        <v>120664.75</v>
      </c>
      <c r="BR8" s="183">
        <f t="shared" ref="BR8:BR56" si="43">SUM(BS8:BV8)</f>
        <v>176461.15000000014</v>
      </c>
      <c r="BS8" s="184"/>
      <c r="BT8" s="184">
        <v>105509.27000000014</v>
      </c>
      <c r="BU8" s="183" t="s">
        <v>180</v>
      </c>
      <c r="BV8" s="184">
        <v>70951.88</v>
      </c>
    </row>
    <row r="9" spans="1:74" s="144" customFormat="1" ht="15.95" customHeight="1" outlineLevel="1">
      <c r="A9" s="160">
        <v>1.2</v>
      </c>
      <c r="B9" s="161" t="s">
        <v>614</v>
      </c>
      <c r="C9" s="162"/>
      <c r="D9" s="163">
        <f t="shared" si="25"/>
        <v>0</v>
      </c>
      <c r="E9" s="164">
        <f t="shared" si="26"/>
        <v>0</v>
      </c>
      <c r="F9" s="164">
        <f t="shared" si="27"/>
        <v>0</v>
      </c>
      <c r="G9" s="164">
        <f t="shared" si="28"/>
        <v>0</v>
      </c>
      <c r="H9" s="164" t="str">
        <f t="shared" si="29"/>
        <v>——</v>
      </c>
      <c r="I9" s="164">
        <f t="shared" si="30"/>
        <v>0</v>
      </c>
      <c r="J9" s="164">
        <f t="shared" si="0"/>
        <v>0</v>
      </c>
      <c r="K9" s="164">
        <f t="shared" si="31"/>
        <v>0</v>
      </c>
      <c r="L9" s="164">
        <f t="shared" si="1"/>
        <v>0</v>
      </c>
      <c r="M9" s="164">
        <f t="shared" si="1"/>
        <v>0</v>
      </c>
      <c r="N9" s="164">
        <f t="shared" si="1"/>
        <v>0</v>
      </c>
      <c r="O9" s="183">
        <f t="shared" si="32"/>
        <v>0</v>
      </c>
      <c r="P9" s="184"/>
      <c r="Q9" s="184"/>
      <c r="R9" s="183" t="s">
        <v>180</v>
      </c>
      <c r="S9" s="184"/>
      <c r="T9" s="183">
        <f t="shared" si="33"/>
        <v>0</v>
      </c>
      <c r="U9" s="184"/>
      <c r="V9" s="184"/>
      <c r="W9" s="183" t="s">
        <v>180</v>
      </c>
      <c r="X9" s="184"/>
      <c r="Y9" s="183">
        <f t="shared" si="34"/>
        <v>0</v>
      </c>
      <c r="Z9" s="184"/>
      <c r="AA9" s="184"/>
      <c r="AB9" s="183" t="s">
        <v>180</v>
      </c>
      <c r="AC9" s="184"/>
      <c r="AD9" s="183">
        <f t="shared" si="35"/>
        <v>0</v>
      </c>
      <c r="AE9" s="184"/>
      <c r="AF9" s="184"/>
      <c r="AG9" s="183" t="s">
        <v>180</v>
      </c>
      <c r="AH9" s="184"/>
      <c r="AI9" s="183">
        <f t="shared" si="36"/>
        <v>0</v>
      </c>
      <c r="AJ9" s="184"/>
      <c r="AK9" s="184"/>
      <c r="AL9" s="183" t="s">
        <v>180</v>
      </c>
      <c r="AM9" s="184"/>
      <c r="AN9" s="183">
        <f t="shared" si="37"/>
        <v>0</v>
      </c>
      <c r="AO9" s="184"/>
      <c r="AP9" s="184"/>
      <c r="AQ9" s="183" t="s">
        <v>180</v>
      </c>
      <c r="AR9" s="184"/>
      <c r="AS9" s="183">
        <f t="shared" si="38"/>
        <v>0</v>
      </c>
      <c r="AT9" s="184"/>
      <c r="AU9" s="184"/>
      <c r="AV9" s="183" t="s">
        <v>180</v>
      </c>
      <c r="AW9" s="184"/>
      <c r="AX9" s="183">
        <f t="shared" si="39"/>
        <v>0</v>
      </c>
      <c r="AY9" s="184"/>
      <c r="AZ9" s="184"/>
      <c r="BA9" s="183" t="s">
        <v>180</v>
      </c>
      <c r="BB9" s="184"/>
      <c r="BC9" s="183">
        <f t="shared" si="40"/>
        <v>0</v>
      </c>
      <c r="BD9" s="184"/>
      <c r="BE9" s="184"/>
      <c r="BF9" s="183" t="s">
        <v>180</v>
      </c>
      <c r="BG9" s="184"/>
      <c r="BH9" s="183">
        <f t="shared" si="41"/>
        <v>0</v>
      </c>
      <c r="BI9" s="184"/>
      <c r="BJ9" s="184"/>
      <c r="BK9" s="183" t="s">
        <v>180</v>
      </c>
      <c r="BL9" s="184"/>
      <c r="BM9" s="183">
        <f t="shared" si="42"/>
        <v>0</v>
      </c>
      <c r="BN9" s="184"/>
      <c r="BO9" s="184"/>
      <c r="BP9" s="183" t="s">
        <v>180</v>
      </c>
      <c r="BQ9" s="184"/>
      <c r="BR9" s="183">
        <f t="shared" si="43"/>
        <v>0</v>
      </c>
      <c r="BS9" s="184"/>
      <c r="BT9" s="184"/>
      <c r="BU9" s="183" t="s">
        <v>180</v>
      </c>
      <c r="BV9" s="184"/>
    </row>
    <row r="10" spans="1:74" s="144" customFormat="1" ht="15.95" customHeight="1" outlineLevel="1">
      <c r="A10" s="160">
        <v>1.3</v>
      </c>
      <c r="B10" s="161" t="s">
        <v>615</v>
      </c>
      <c r="C10" s="162"/>
      <c r="D10" s="163">
        <f t="shared" si="25"/>
        <v>0</v>
      </c>
      <c r="E10" s="164">
        <f t="shared" si="26"/>
        <v>0</v>
      </c>
      <c r="F10" s="164">
        <f t="shared" si="27"/>
        <v>0</v>
      </c>
      <c r="G10" s="164">
        <f t="shared" si="28"/>
        <v>0</v>
      </c>
      <c r="H10" s="164" t="str">
        <f t="shared" si="29"/>
        <v>——</v>
      </c>
      <c r="I10" s="164">
        <f t="shared" si="30"/>
        <v>0</v>
      </c>
      <c r="J10" s="164">
        <f t="shared" si="0"/>
        <v>1015234.08</v>
      </c>
      <c r="K10" s="164">
        <f t="shared" si="31"/>
        <v>89513.41</v>
      </c>
      <c r="L10" s="164">
        <f t="shared" si="1"/>
        <v>247665.16999999998</v>
      </c>
      <c r="M10" s="164">
        <f t="shared" si="1"/>
        <v>0</v>
      </c>
      <c r="N10" s="164">
        <f t="shared" si="1"/>
        <v>678055.5</v>
      </c>
      <c r="O10" s="183">
        <f t="shared" si="32"/>
        <v>1015234.08</v>
      </c>
      <c r="P10" s="184">
        <v>89513.41</v>
      </c>
      <c r="Q10" s="184">
        <v>247665.16999999998</v>
      </c>
      <c r="R10" s="183" t="s">
        <v>180</v>
      </c>
      <c r="S10" s="184">
        <v>678055.5</v>
      </c>
      <c r="T10" s="183">
        <f t="shared" si="33"/>
        <v>0</v>
      </c>
      <c r="U10" s="184"/>
      <c r="V10" s="184"/>
      <c r="W10" s="183" t="s">
        <v>180</v>
      </c>
      <c r="X10" s="184"/>
      <c r="Y10" s="183">
        <f t="shared" si="34"/>
        <v>0</v>
      </c>
      <c r="Z10" s="184"/>
      <c r="AA10" s="184"/>
      <c r="AB10" s="183" t="s">
        <v>180</v>
      </c>
      <c r="AC10" s="184"/>
      <c r="AD10" s="183">
        <f t="shared" si="35"/>
        <v>0</v>
      </c>
      <c r="AE10" s="184"/>
      <c r="AF10" s="184"/>
      <c r="AG10" s="183" t="s">
        <v>180</v>
      </c>
      <c r="AH10" s="184"/>
      <c r="AI10" s="183">
        <f t="shared" si="36"/>
        <v>0</v>
      </c>
      <c r="AJ10" s="184"/>
      <c r="AK10" s="184"/>
      <c r="AL10" s="183" t="s">
        <v>180</v>
      </c>
      <c r="AM10" s="184"/>
      <c r="AN10" s="183">
        <f t="shared" si="37"/>
        <v>0</v>
      </c>
      <c r="AO10" s="184"/>
      <c r="AP10" s="184"/>
      <c r="AQ10" s="183" t="s">
        <v>180</v>
      </c>
      <c r="AR10" s="184"/>
      <c r="AS10" s="183">
        <f t="shared" si="38"/>
        <v>0</v>
      </c>
      <c r="AT10" s="184"/>
      <c r="AU10" s="184"/>
      <c r="AV10" s="183" t="s">
        <v>180</v>
      </c>
      <c r="AW10" s="184"/>
      <c r="AX10" s="183">
        <f t="shared" si="39"/>
        <v>0</v>
      </c>
      <c r="AY10" s="184"/>
      <c r="AZ10" s="184"/>
      <c r="BA10" s="183" t="s">
        <v>180</v>
      </c>
      <c r="BB10" s="184"/>
      <c r="BC10" s="183">
        <f t="shared" si="40"/>
        <v>0</v>
      </c>
      <c r="BD10" s="184"/>
      <c r="BE10" s="184"/>
      <c r="BF10" s="183" t="s">
        <v>180</v>
      </c>
      <c r="BG10" s="184"/>
      <c r="BH10" s="183">
        <f t="shared" si="41"/>
        <v>0</v>
      </c>
      <c r="BI10" s="184"/>
      <c r="BJ10" s="184"/>
      <c r="BK10" s="183" t="s">
        <v>180</v>
      </c>
      <c r="BL10" s="184"/>
      <c r="BM10" s="183">
        <f t="shared" si="42"/>
        <v>0</v>
      </c>
      <c r="BN10" s="184"/>
      <c r="BO10" s="184"/>
      <c r="BP10" s="183" t="s">
        <v>180</v>
      </c>
      <c r="BQ10" s="184"/>
      <c r="BR10" s="183">
        <f t="shared" si="43"/>
        <v>0</v>
      </c>
      <c r="BS10" s="184"/>
      <c r="BT10" s="184"/>
      <c r="BU10" s="183" t="s">
        <v>180</v>
      </c>
      <c r="BV10" s="184"/>
    </row>
    <row r="11" spans="1:74" s="144" customFormat="1" ht="15.95" customHeight="1" outlineLevel="1">
      <c r="A11" s="160">
        <v>1.4</v>
      </c>
      <c r="B11" s="161" t="s">
        <v>616</v>
      </c>
      <c r="C11" s="162"/>
      <c r="D11" s="163">
        <f t="shared" si="25"/>
        <v>0</v>
      </c>
      <c r="E11" s="164">
        <f t="shared" si="26"/>
        <v>17920.900000000031</v>
      </c>
      <c r="F11" s="164">
        <f t="shared" si="27"/>
        <v>0</v>
      </c>
      <c r="G11" s="164">
        <f t="shared" si="28"/>
        <v>10905.500000000029</v>
      </c>
      <c r="H11" s="164" t="str">
        <f t="shared" si="29"/>
        <v>——</v>
      </c>
      <c r="I11" s="164">
        <f t="shared" si="30"/>
        <v>7015.4</v>
      </c>
      <c r="J11" s="164">
        <f t="shared" si="0"/>
        <v>470076.32</v>
      </c>
      <c r="K11" s="164">
        <f t="shared" si="31"/>
        <v>31479.14</v>
      </c>
      <c r="L11" s="164">
        <f t="shared" si="1"/>
        <v>182148.78000000003</v>
      </c>
      <c r="M11" s="164">
        <f t="shared" si="1"/>
        <v>0</v>
      </c>
      <c r="N11" s="164">
        <f t="shared" si="1"/>
        <v>256448.39999999997</v>
      </c>
      <c r="O11" s="183">
        <f t="shared" si="32"/>
        <v>162961.52000000002</v>
      </c>
      <c r="P11" s="184">
        <v>16035.53</v>
      </c>
      <c r="Q11" s="184">
        <v>55507.270000000004</v>
      </c>
      <c r="R11" s="183" t="s">
        <v>180</v>
      </c>
      <c r="S11" s="184">
        <v>91418.72</v>
      </c>
      <c r="T11" s="183">
        <f t="shared" si="33"/>
        <v>162961.5</v>
      </c>
      <c r="U11" s="184">
        <v>16035.53</v>
      </c>
      <c r="V11" s="184">
        <v>55507.34</v>
      </c>
      <c r="W11" s="183" t="s">
        <v>180</v>
      </c>
      <c r="X11" s="184">
        <v>91418.63</v>
      </c>
      <c r="Y11" s="183">
        <f t="shared" si="34"/>
        <v>152159.12</v>
      </c>
      <c r="Z11" s="184">
        <v>16035.529999999995</v>
      </c>
      <c r="AA11" s="184">
        <v>51418.94</v>
      </c>
      <c r="AB11" s="183" t="s">
        <v>180</v>
      </c>
      <c r="AC11" s="184">
        <v>84704.65</v>
      </c>
      <c r="AD11" s="183">
        <f t="shared" si="35"/>
        <v>-227869.12</v>
      </c>
      <c r="AE11" s="184">
        <v>-22804.869999999995</v>
      </c>
      <c r="AF11" s="184">
        <v>-77297.73</v>
      </c>
      <c r="AG11" s="183" t="s">
        <v>180</v>
      </c>
      <c r="AH11" s="184">
        <v>-127766.52</v>
      </c>
      <c r="AI11" s="183">
        <f t="shared" si="36"/>
        <v>24120</v>
      </c>
      <c r="AJ11" s="184">
        <v>3088.7099999999991</v>
      </c>
      <c r="AK11" s="184">
        <v>8612.75</v>
      </c>
      <c r="AL11" s="183" t="s">
        <v>180</v>
      </c>
      <c r="AM11" s="184">
        <v>12418.54</v>
      </c>
      <c r="AN11" s="183">
        <f t="shared" si="37"/>
        <v>24120</v>
      </c>
      <c r="AO11" s="184">
        <v>3088.7099999999991</v>
      </c>
      <c r="AP11" s="184">
        <v>8612.75</v>
      </c>
      <c r="AQ11" s="183" t="s">
        <v>180</v>
      </c>
      <c r="AR11" s="184">
        <v>12418.54</v>
      </c>
      <c r="AS11" s="183">
        <f t="shared" si="38"/>
        <v>35042.299999999996</v>
      </c>
      <c r="AT11" s="184"/>
      <c r="AU11" s="184">
        <v>15457.38</v>
      </c>
      <c r="AV11" s="183" t="s">
        <v>180</v>
      </c>
      <c r="AW11" s="184">
        <v>19584.919999999998</v>
      </c>
      <c r="AX11" s="183">
        <f t="shared" si="39"/>
        <v>35042.299999999988</v>
      </c>
      <c r="AY11" s="184"/>
      <c r="AZ11" s="184">
        <v>15457.37999999999</v>
      </c>
      <c r="BA11" s="183" t="s">
        <v>180</v>
      </c>
      <c r="BB11" s="184">
        <v>19584.919999999998</v>
      </c>
      <c r="BC11" s="183">
        <f t="shared" si="40"/>
        <v>35042.30000000001</v>
      </c>
      <c r="BD11" s="184"/>
      <c r="BE11" s="184">
        <v>15457.380000000012</v>
      </c>
      <c r="BF11" s="183" t="s">
        <v>180</v>
      </c>
      <c r="BG11" s="184">
        <v>19584.919999999998</v>
      </c>
      <c r="BH11" s="183">
        <f t="shared" si="41"/>
        <v>23835.3</v>
      </c>
      <c r="BI11" s="184"/>
      <c r="BJ11" s="184">
        <v>9853.82</v>
      </c>
      <c r="BK11" s="183" t="s">
        <v>180</v>
      </c>
      <c r="BL11" s="184">
        <v>13981.48</v>
      </c>
      <c r="BM11" s="183">
        <f t="shared" si="42"/>
        <v>24740.200000000012</v>
      </c>
      <c r="BN11" s="184"/>
      <c r="BO11" s="184">
        <v>12656</v>
      </c>
      <c r="BP11" s="183" t="s">
        <v>180</v>
      </c>
      <c r="BQ11" s="184">
        <v>12084.200000000012</v>
      </c>
      <c r="BR11" s="183">
        <f t="shared" si="43"/>
        <v>17920.900000000031</v>
      </c>
      <c r="BS11" s="184"/>
      <c r="BT11" s="184">
        <v>10905.500000000029</v>
      </c>
      <c r="BU11" s="183" t="s">
        <v>180</v>
      </c>
      <c r="BV11" s="184">
        <v>7015.4</v>
      </c>
    </row>
    <row r="12" spans="1:74" s="144" customFormat="1" ht="15.95" customHeight="1" outlineLevel="1">
      <c r="A12" s="160">
        <v>1.5</v>
      </c>
      <c r="B12" s="161" t="s">
        <v>617</v>
      </c>
      <c r="C12" s="162"/>
      <c r="D12" s="163">
        <f t="shared" si="25"/>
        <v>0</v>
      </c>
      <c r="E12" s="164">
        <f t="shared" si="26"/>
        <v>12544</v>
      </c>
      <c r="F12" s="164">
        <f t="shared" si="27"/>
        <v>0</v>
      </c>
      <c r="G12" s="164">
        <f t="shared" si="28"/>
        <v>7634</v>
      </c>
      <c r="H12" s="164" t="str">
        <f t="shared" si="29"/>
        <v>——</v>
      </c>
      <c r="I12" s="164">
        <f t="shared" si="30"/>
        <v>4910</v>
      </c>
      <c r="J12" s="164">
        <f t="shared" si="0"/>
        <v>339970</v>
      </c>
      <c r="K12" s="164">
        <f t="shared" si="31"/>
        <v>23112</v>
      </c>
      <c r="L12" s="164">
        <f t="shared" si="1"/>
        <v>132575</v>
      </c>
      <c r="M12" s="164">
        <f t="shared" si="1"/>
        <v>0</v>
      </c>
      <c r="N12" s="164">
        <f t="shared" si="1"/>
        <v>184283</v>
      </c>
      <c r="O12" s="183">
        <f t="shared" si="32"/>
        <v>41407</v>
      </c>
      <c r="P12" s="184">
        <v>3852</v>
      </c>
      <c r="Q12" s="184">
        <v>14255</v>
      </c>
      <c r="R12" s="183" t="s">
        <v>180</v>
      </c>
      <c r="S12" s="184">
        <v>23300</v>
      </c>
      <c r="T12" s="183">
        <f t="shared" si="33"/>
        <v>41407</v>
      </c>
      <c r="U12" s="184">
        <v>3852</v>
      </c>
      <c r="V12" s="184">
        <v>14255</v>
      </c>
      <c r="W12" s="183" t="s">
        <v>180</v>
      </c>
      <c r="X12" s="184">
        <v>23300</v>
      </c>
      <c r="Y12" s="183">
        <f t="shared" si="34"/>
        <v>38633</v>
      </c>
      <c r="Z12" s="184">
        <v>3852</v>
      </c>
      <c r="AA12" s="184">
        <v>13205</v>
      </c>
      <c r="AB12" s="183" t="s">
        <v>180</v>
      </c>
      <c r="AC12" s="184">
        <v>21576</v>
      </c>
      <c r="AD12" s="183">
        <f t="shared" si="35"/>
        <v>34960</v>
      </c>
      <c r="AE12" s="184">
        <v>3852</v>
      </c>
      <c r="AF12" s="184">
        <v>12043</v>
      </c>
      <c r="AG12" s="183" t="s">
        <v>180</v>
      </c>
      <c r="AH12" s="184">
        <v>19065</v>
      </c>
      <c r="AI12" s="183">
        <f t="shared" si="36"/>
        <v>31715</v>
      </c>
      <c r="AJ12" s="184">
        <v>3852</v>
      </c>
      <c r="AK12" s="184">
        <v>11483</v>
      </c>
      <c r="AL12" s="183" t="s">
        <v>180</v>
      </c>
      <c r="AM12" s="184">
        <v>16380</v>
      </c>
      <c r="AN12" s="183">
        <f t="shared" si="37"/>
        <v>31715</v>
      </c>
      <c r="AO12" s="184">
        <v>3852</v>
      </c>
      <c r="AP12" s="184">
        <v>11483</v>
      </c>
      <c r="AQ12" s="183" t="s">
        <v>180</v>
      </c>
      <c r="AR12" s="184">
        <v>16380</v>
      </c>
      <c r="AS12" s="183">
        <f t="shared" si="38"/>
        <v>24529</v>
      </c>
      <c r="AT12" s="184"/>
      <c r="AU12" s="184">
        <v>10820</v>
      </c>
      <c r="AV12" s="183" t="s">
        <v>180</v>
      </c>
      <c r="AW12" s="184">
        <v>13709</v>
      </c>
      <c r="AX12" s="183">
        <f t="shared" si="39"/>
        <v>24529</v>
      </c>
      <c r="AY12" s="184"/>
      <c r="AZ12" s="184">
        <v>10820</v>
      </c>
      <c r="BA12" s="183" t="s">
        <v>180</v>
      </c>
      <c r="BB12" s="184">
        <v>13709</v>
      </c>
      <c r="BC12" s="183">
        <f t="shared" si="40"/>
        <v>24529</v>
      </c>
      <c r="BD12" s="184"/>
      <c r="BE12" s="184">
        <v>10820</v>
      </c>
      <c r="BF12" s="183" t="s">
        <v>180</v>
      </c>
      <c r="BG12" s="184">
        <v>13709</v>
      </c>
      <c r="BH12" s="183">
        <f t="shared" si="41"/>
        <v>16685</v>
      </c>
      <c r="BI12" s="184"/>
      <c r="BJ12" s="184">
        <v>6898</v>
      </c>
      <c r="BK12" s="183" t="s">
        <v>180</v>
      </c>
      <c r="BL12" s="184">
        <v>9787</v>
      </c>
      <c r="BM12" s="183">
        <f t="shared" si="42"/>
        <v>17317</v>
      </c>
      <c r="BN12" s="184"/>
      <c r="BO12" s="184">
        <v>8859</v>
      </c>
      <c r="BP12" s="183" t="s">
        <v>180</v>
      </c>
      <c r="BQ12" s="184">
        <v>8458</v>
      </c>
      <c r="BR12" s="183">
        <f t="shared" si="43"/>
        <v>12544</v>
      </c>
      <c r="BS12" s="184"/>
      <c r="BT12" s="184">
        <v>7634</v>
      </c>
      <c r="BU12" s="183" t="s">
        <v>180</v>
      </c>
      <c r="BV12" s="184">
        <v>4910</v>
      </c>
    </row>
    <row r="13" spans="1:74" s="143" customFormat="1" ht="15.95" customHeight="1">
      <c r="A13" s="155" t="s">
        <v>618</v>
      </c>
      <c r="B13" s="156" t="s">
        <v>619</v>
      </c>
      <c r="C13" s="157"/>
      <c r="D13" s="158">
        <f t="shared" si="25"/>
        <v>0</v>
      </c>
      <c r="E13" s="159">
        <f t="shared" si="26"/>
        <v>327282.5900000002</v>
      </c>
      <c r="F13" s="159">
        <f t="shared" si="27"/>
        <v>0</v>
      </c>
      <c r="G13" s="159">
        <f t="shared" si="28"/>
        <v>326308.50000000017</v>
      </c>
      <c r="H13" s="159">
        <f t="shared" si="29"/>
        <v>0</v>
      </c>
      <c r="I13" s="159">
        <f t="shared" si="30"/>
        <v>974.09</v>
      </c>
      <c r="J13" s="159">
        <f t="shared" si="0"/>
        <v>7885727.6899999995</v>
      </c>
      <c r="K13" s="159">
        <f t="shared" si="31"/>
        <v>938</v>
      </c>
      <c r="L13" s="159">
        <f t="shared" si="1"/>
        <v>7715420.6999999993</v>
      </c>
      <c r="M13" s="159">
        <f t="shared" si="1"/>
        <v>0</v>
      </c>
      <c r="N13" s="159">
        <f t="shared" si="1"/>
        <v>169368.99</v>
      </c>
      <c r="O13" s="182">
        <f t="shared" si="32"/>
        <v>628362.06999999995</v>
      </c>
      <c r="P13" s="159">
        <f>SUM(P14:P45)</f>
        <v>818</v>
      </c>
      <c r="Q13" s="159">
        <f t="shared" ref="Q13:S13" si="44">SUM(Q14:Q45)</f>
        <v>592271.93999999994</v>
      </c>
      <c r="R13" s="159">
        <f t="shared" si="44"/>
        <v>0</v>
      </c>
      <c r="S13" s="159">
        <f t="shared" si="44"/>
        <v>35272.129999999997</v>
      </c>
      <c r="T13" s="182">
        <f t="shared" si="33"/>
        <v>19195.82</v>
      </c>
      <c r="U13" s="159">
        <f>SUM(U14:U45)</f>
        <v>0</v>
      </c>
      <c r="V13" s="159">
        <f t="shared" ref="V13:W13" si="45">SUM(V14:V45)</f>
        <v>19195.82</v>
      </c>
      <c r="W13" s="159">
        <f t="shared" si="45"/>
        <v>0</v>
      </c>
      <c r="X13" s="159">
        <f t="shared" ref="X13" si="46">SUM(X14:X45)</f>
        <v>0</v>
      </c>
      <c r="Y13" s="182">
        <f t="shared" si="34"/>
        <v>746698.33</v>
      </c>
      <c r="Z13" s="159">
        <f>SUM(Z14:Z45)</f>
        <v>120</v>
      </c>
      <c r="AA13" s="159">
        <f t="shared" ref="AA13:AB13" si="47">SUM(AA14:AA45)</f>
        <v>742655.33</v>
      </c>
      <c r="AB13" s="159">
        <f t="shared" si="47"/>
        <v>0</v>
      </c>
      <c r="AC13" s="159">
        <f t="shared" ref="AC13" si="48">SUM(AC14:AC45)</f>
        <v>3923</v>
      </c>
      <c r="AD13" s="182">
        <f t="shared" si="35"/>
        <v>64480.91</v>
      </c>
      <c r="AE13" s="159">
        <f>SUM(AE14:AE45)</f>
        <v>0</v>
      </c>
      <c r="AF13" s="159">
        <f t="shared" ref="AF13:AG13" si="49">SUM(AF14:AF45)</f>
        <v>64480.91</v>
      </c>
      <c r="AG13" s="159">
        <f t="shared" si="49"/>
        <v>0</v>
      </c>
      <c r="AH13" s="159">
        <f t="shared" ref="AH13" si="50">SUM(AH14:AH45)</f>
        <v>0</v>
      </c>
      <c r="AI13" s="182">
        <f t="shared" si="36"/>
        <v>27682.54</v>
      </c>
      <c r="AJ13" s="159">
        <f>SUM(AJ14:AJ45)</f>
        <v>0</v>
      </c>
      <c r="AK13" s="159">
        <f t="shared" ref="AK13:AL13" si="51">SUM(AK14:AK45)</f>
        <v>22689.54</v>
      </c>
      <c r="AL13" s="159">
        <f t="shared" si="51"/>
        <v>0</v>
      </c>
      <c r="AM13" s="159">
        <f t="shared" ref="AM13" si="52">SUM(AM14:AM45)</f>
        <v>4993</v>
      </c>
      <c r="AN13" s="182">
        <f t="shared" si="37"/>
        <v>3839930.31</v>
      </c>
      <c r="AO13" s="159">
        <f>SUM(AO14:AO45)</f>
        <v>0</v>
      </c>
      <c r="AP13" s="159">
        <f t="shared" ref="AP13:AQ13" si="53">SUM(AP14:AP45)</f>
        <v>3792868.31</v>
      </c>
      <c r="AQ13" s="159">
        <f t="shared" si="53"/>
        <v>0</v>
      </c>
      <c r="AR13" s="159">
        <f t="shared" ref="AR13" si="54">SUM(AR14:AR45)</f>
        <v>47062</v>
      </c>
      <c r="AS13" s="182">
        <f t="shared" si="38"/>
        <v>83323.799999999988</v>
      </c>
      <c r="AT13" s="159">
        <f>SUM(AT14:AT45)</f>
        <v>0</v>
      </c>
      <c r="AU13" s="159">
        <f t="shared" ref="AU13:AV13" si="55">SUM(AU14:AU45)</f>
        <v>27011.799999999996</v>
      </c>
      <c r="AV13" s="159">
        <f t="shared" si="55"/>
        <v>0</v>
      </c>
      <c r="AW13" s="159">
        <f t="shared" ref="AW13" si="56">SUM(AW14:AW45)</f>
        <v>56312</v>
      </c>
      <c r="AX13" s="182">
        <f t="shared" si="39"/>
        <v>411093.55000000005</v>
      </c>
      <c r="AY13" s="159">
        <f>SUM(AY14:AY45)</f>
        <v>0</v>
      </c>
      <c r="AZ13" s="159">
        <f t="shared" ref="AZ13:BA13" si="57">SUM(AZ14:AZ45)</f>
        <v>402463.55000000005</v>
      </c>
      <c r="BA13" s="159">
        <f t="shared" si="57"/>
        <v>0</v>
      </c>
      <c r="BB13" s="159">
        <f t="shared" ref="BB13" si="58">SUM(BB14:BB45)</f>
        <v>8630</v>
      </c>
      <c r="BC13" s="182">
        <f t="shared" si="40"/>
        <v>1990323.6699999997</v>
      </c>
      <c r="BD13" s="159">
        <f>SUM(BD14:BD45)</f>
        <v>0</v>
      </c>
      <c r="BE13" s="159">
        <f t="shared" ref="BE13:BF13" si="59">SUM(BE14:BE45)</f>
        <v>1978120.8999999997</v>
      </c>
      <c r="BF13" s="159">
        <f t="shared" si="59"/>
        <v>0</v>
      </c>
      <c r="BG13" s="159">
        <f t="shared" ref="BG13" si="60">SUM(BG14:BG45)</f>
        <v>12202.77</v>
      </c>
      <c r="BH13" s="182">
        <f t="shared" si="41"/>
        <v>-261318.46999999983</v>
      </c>
      <c r="BI13" s="159">
        <f>SUM(BI14:BI45)</f>
        <v>0</v>
      </c>
      <c r="BJ13" s="159">
        <f t="shared" ref="BJ13:BK13" si="61">SUM(BJ14:BJ45)</f>
        <v>-261318.46999999983</v>
      </c>
      <c r="BK13" s="159">
        <f t="shared" si="61"/>
        <v>0</v>
      </c>
      <c r="BL13" s="159">
        <f t="shared" ref="BL13" si="62">SUM(BL14:BL45)</f>
        <v>0</v>
      </c>
      <c r="BM13" s="182">
        <f t="shared" si="42"/>
        <v>8672.57</v>
      </c>
      <c r="BN13" s="159">
        <f>SUM(BN14:BN45)</f>
        <v>0</v>
      </c>
      <c r="BO13" s="159">
        <f t="shared" ref="BO13:BP13" si="63">SUM(BO14:BO45)</f>
        <v>8672.57</v>
      </c>
      <c r="BP13" s="159">
        <f t="shared" si="63"/>
        <v>0</v>
      </c>
      <c r="BQ13" s="159">
        <f t="shared" ref="BQ13" si="64">SUM(BQ14:BQ45)</f>
        <v>0</v>
      </c>
      <c r="BR13" s="182">
        <f t="shared" si="43"/>
        <v>327282.5900000002</v>
      </c>
      <c r="BS13" s="159">
        <f>SUM(BS14:BS45)</f>
        <v>0</v>
      </c>
      <c r="BT13" s="159">
        <f t="shared" ref="BT13:BU13" si="65">SUM(BT14:BT45)</f>
        <v>326308.50000000017</v>
      </c>
      <c r="BU13" s="159">
        <f t="shared" si="65"/>
        <v>0</v>
      </c>
      <c r="BV13" s="159">
        <f t="shared" ref="BV13" si="66">SUM(BV14:BV45)</f>
        <v>974.09</v>
      </c>
    </row>
    <row r="14" spans="1:74" s="144" customFormat="1" ht="15.95" customHeight="1" outlineLevel="1">
      <c r="A14" s="160">
        <v>2.1</v>
      </c>
      <c r="B14" s="165" t="s">
        <v>620</v>
      </c>
      <c r="C14" s="162"/>
      <c r="D14" s="163">
        <f t="shared" si="25"/>
        <v>0</v>
      </c>
      <c r="E14" s="164">
        <f t="shared" si="26"/>
        <v>0</v>
      </c>
      <c r="F14" s="164">
        <f t="shared" si="27"/>
        <v>0</v>
      </c>
      <c r="G14" s="164">
        <f t="shared" si="28"/>
        <v>0</v>
      </c>
      <c r="H14" s="164" t="str">
        <f t="shared" si="29"/>
        <v>——</v>
      </c>
      <c r="I14" s="164">
        <f t="shared" si="30"/>
        <v>0</v>
      </c>
      <c r="J14" s="164">
        <f t="shared" si="0"/>
        <v>1787.4</v>
      </c>
      <c r="K14" s="164">
        <f t="shared" si="31"/>
        <v>0</v>
      </c>
      <c r="L14" s="164">
        <f t="shared" si="1"/>
        <v>1787.4</v>
      </c>
      <c r="M14" s="164">
        <f t="shared" si="1"/>
        <v>0</v>
      </c>
      <c r="N14" s="164">
        <f t="shared" si="1"/>
        <v>0</v>
      </c>
      <c r="O14" s="183">
        <f t="shared" si="32"/>
        <v>36</v>
      </c>
      <c r="P14" s="185"/>
      <c r="Q14" s="184">
        <v>36</v>
      </c>
      <c r="R14" s="183" t="s">
        <v>180</v>
      </c>
      <c r="S14" s="184"/>
      <c r="T14" s="183">
        <f t="shared" si="33"/>
        <v>0</v>
      </c>
      <c r="U14" s="185"/>
      <c r="V14" s="184"/>
      <c r="W14" s="183" t="s">
        <v>180</v>
      </c>
      <c r="X14" s="184"/>
      <c r="Y14" s="183">
        <f t="shared" si="34"/>
        <v>191.2</v>
      </c>
      <c r="Z14" s="185"/>
      <c r="AA14" s="184">
        <v>191.2</v>
      </c>
      <c r="AB14" s="183" t="s">
        <v>180</v>
      </c>
      <c r="AC14" s="184"/>
      <c r="AD14" s="183">
        <f t="shared" si="35"/>
        <v>69</v>
      </c>
      <c r="AE14" s="185"/>
      <c r="AF14" s="184">
        <v>69</v>
      </c>
      <c r="AG14" s="183" t="s">
        <v>180</v>
      </c>
      <c r="AH14" s="184"/>
      <c r="AI14" s="183">
        <f t="shared" si="36"/>
        <v>627</v>
      </c>
      <c r="AJ14" s="185"/>
      <c r="AK14" s="184">
        <v>627</v>
      </c>
      <c r="AL14" s="183" t="s">
        <v>180</v>
      </c>
      <c r="AM14" s="184"/>
      <c r="AN14" s="183">
        <f t="shared" si="37"/>
        <v>0</v>
      </c>
      <c r="AO14" s="185"/>
      <c r="AP14" s="184"/>
      <c r="AQ14" s="183" t="s">
        <v>180</v>
      </c>
      <c r="AR14" s="184"/>
      <c r="AS14" s="183">
        <f t="shared" si="38"/>
        <v>563.20000000000005</v>
      </c>
      <c r="AT14" s="185"/>
      <c r="AU14" s="184">
        <v>563.20000000000005</v>
      </c>
      <c r="AV14" s="183" t="s">
        <v>180</v>
      </c>
      <c r="AW14" s="184"/>
      <c r="AX14" s="183">
        <f t="shared" si="39"/>
        <v>24</v>
      </c>
      <c r="AY14" s="185"/>
      <c r="AZ14" s="184">
        <v>24</v>
      </c>
      <c r="BA14" s="183" t="s">
        <v>180</v>
      </c>
      <c r="BB14" s="184"/>
      <c r="BC14" s="183">
        <f t="shared" si="40"/>
        <v>0</v>
      </c>
      <c r="BD14" s="185"/>
      <c r="BE14" s="184"/>
      <c r="BF14" s="183" t="s">
        <v>180</v>
      </c>
      <c r="BG14" s="184"/>
      <c r="BH14" s="183">
        <f t="shared" si="41"/>
        <v>277</v>
      </c>
      <c r="BI14" s="185"/>
      <c r="BJ14" s="184">
        <v>277</v>
      </c>
      <c r="BK14" s="183" t="s">
        <v>180</v>
      </c>
      <c r="BL14" s="184"/>
      <c r="BM14" s="183">
        <f t="shared" si="42"/>
        <v>0</v>
      </c>
      <c r="BN14" s="185"/>
      <c r="BO14" s="184"/>
      <c r="BP14" s="183" t="s">
        <v>180</v>
      </c>
      <c r="BQ14" s="184"/>
      <c r="BR14" s="183">
        <f t="shared" si="43"/>
        <v>0</v>
      </c>
      <c r="BS14" s="185"/>
      <c r="BT14" s="184"/>
      <c r="BU14" s="183" t="s">
        <v>180</v>
      </c>
      <c r="BV14" s="184"/>
    </row>
    <row r="15" spans="1:74" s="144" customFormat="1" ht="15.95" customHeight="1" outlineLevel="1">
      <c r="A15" s="160" t="s">
        <v>621</v>
      </c>
      <c r="B15" s="165" t="s">
        <v>622</v>
      </c>
      <c r="C15" s="162"/>
      <c r="D15" s="163">
        <f t="shared" si="25"/>
        <v>0</v>
      </c>
      <c r="E15" s="164">
        <f t="shared" si="26"/>
        <v>7018.82</v>
      </c>
      <c r="F15" s="164">
        <f t="shared" si="27"/>
        <v>0</v>
      </c>
      <c r="G15" s="164">
        <f t="shared" si="28"/>
        <v>7018.82</v>
      </c>
      <c r="H15" s="164" t="str">
        <f t="shared" si="29"/>
        <v>——</v>
      </c>
      <c r="I15" s="164">
        <f t="shared" si="30"/>
        <v>0</v>
      </c>
      <c r="J15" s="164">
        <f t="shared" si="0"/>
        <v>29209.47</v>
      </c>
      <c r="K15" s="164">
        <f t="shared" si="31"/>
        <v>0</v>
      </c>
      <c r="L15" s="164">
        <f t="shared" si="1"/>
        <v>17006.7</v>
      </c>
      <c r="M15" s="164">
        <f t="shared" si="1"/>
        <v>0</v>
      </c>
      <c r="N15" s="164">
        <f t="shared" si="1"/>
        <v>12202.77</v>
      </c>
      <c r="O15" s="183">
        <f t="shared" si="32"/>
        <v>6782.43</v>
      </c>
      <c r="P15" s="185"/>
      <c r="Q15" s="184">
        <v>6782.43</v>
      </c>
      <c r="R15" s="183" t="s">
        <v>180</v>
      </c>
      <c r="S15" s="184"/>
      <c r="T15" s="183">
        <f t="shared" si="33"/>
        <v>0</v>
      </c>
      <c r="U15" s="185"/>
      <c r="V15" s="184"/>
      <c r="W15" s="183" t="s">
        <v>180</v>
      </c>
      <c r="X15" s="184"/>
      <c r="Y15" s="183">
        <f t="shared" si="34"/>
        <v>0</v>
      </c>
      <c r="Z15" s="185"/>
      <c r="AA15" s="184"/>
      <c r="AB15" s="183" t="s">
        <v>180</v>
      </c>
      <c r="AC15" s="184"/>
      <c r="AD15" s="183">
        <f t="shared" si="35"/>
        <v>0</v>
      </c>
      <c r="AE15" s="185"/>
      <c r="AF15" s="184"/>
      <c r="AG15" s="183" t="s">
        <v>180</v>
      </c>
      <c r="AH15" s="184"/>
      <c r="AI15" s="183">
        <f t="shared" si="36"/>
        <v>0</v>
      </c>
      <c r="AJ15" s="185"/>
      <c r="AK15" s="184"/>
      <c r="AL15" s="183" t="s">
        <v>180</v>
      </c>
      <c r="AM15" s="184"/>
      <c r="AN15" s="183">
        <f t="shared" si="37"/>
        <v>0</v>
      </c>
      <c r="AO15" s="185"/>
      <c r="AP15" s="184"/>
      <c r="AQ15" s="183" t="s">
        <v>180</v>
      </c>
      <c r="AR15" s="184"/>
      <c r="AS15" s="183">
        <f t="shared" si="38"/>
        <v>3205.45</v>
      </c>
      <c r="AT15" s="185"/>
      <c r="AU15" s="184">
        <v>3205.45</v>
      </c>
      <c r="AV15" s="183" t="s">
        <v>180</v>
      </c>
      <c r="AW15" s="184"/>
      <c r="AX15" s="183">
        <f t="shared" si="39"/>
        <v>0</v>
      </c>
      <c r="AY15" s="185"/>
      <c r="AZ15" s="184"/>
      <c r="BA15" s="183" t="s">
        <v>180</v>
      </c>
      <c r="BB15" s="184"/>
      <c r="BC15" s="183">
        <f t="shared" si="40"/>
        <v>12202.77</v>
      </c>
      <c r="BD15" s="185"/>
      <c r="BE15" s="184"/>
      <c r="BF15" s="183" t="s">
        <v>180</v>
      </c>
      <c r="BG15" s="184">
        <v>12202.77</v>
      </c>
      <c r="BH15" s="183">
        <f t="shared" si="41"/>
        <v>0</v>
      </c>
      <c r="BI15" s="185"/>
      <c r="BJ15" s="184"/>
      <c r="BK15" s="183" t="s">
        <v>180</v>
      </c>
      <c r="BL15" s="184"/>
      <c r="BM15" s="183">
        <f t="shared" si="42"/>
        <v>0</v>
      </c>
      <c r="BN15" s="185"/>
      <c r="BO15" s="184"/>
      <c r="BP15" s="183" t="s">
        <v>180</v>
      </c>
      <c r="BQ15" s="184"/>
      <c r="BR15" s="183">
        <f t="shared" si="43"/>
        <v>7018.82</v>
      </c>
      <c r="BS15" s="185"/>
      <c r="BT15" s="184">
        <v>7018.82</v>
      </c>
      <c r="BU15" s="183" t="s">
        <v>180</v>
      </c>
      <c r="BV15" s="184"/>
    </row>
    <row r="16" spans="1:74" s="144" customFormat="1" ht="15.95" customHeight="1" outlineLevel="1">
      <c r="A16" s="160" t="s">
        <v>623</v>
      </c>
      <c r="B16" s="165" t="s">
        <v>624</v>
      </c>
      <c r="C16" s="162"/>
      <c r="D16" s="163">
        <f t="shared" si="25"/>
        <v>0</v>
      </c>
      <c r="E16" s="164">
        <f t="shared" si="26"/>
        <v>103</v>
      </c>
      <c r="F16" s="164">
        <f t="shared" si="27"/>
        <v>0</v>
      </c>
      <c r="G16" s="164">
        <f t="shared" si="28"/>
        <v>103</v>
      </c>
      <c r="H16" s="164" t="str">
        <f t="shared" si="29"/>
        <v>——</v>
      </c>
      <c r="I16" s="164">
        <f t="shared" si="30"/>
        <v>0</v>
      </c>
      <c r="J16" s="164">
        <f t="shared" si="0"/>
        <v>143496.64000000001</v>
      </c>
      <c r="K16" s="164">
        <f t="shared" si="31"/>
        <v>756</v>
      </c>
      <c r="L16" s="164">
        <f t="shared" si="1"/>
        <v>27175.699999999997</v>
      </c>
      <c r="M16" s="164">
        <f t="shared" si="1"/>
        <v>0</v>
      </c>
      <c r="N16" s="164">
        <f t="shared" si="1"/>
        <v>115564.94</v>
      </c>
      <c r="O16" s="183">
        <f t="shared" si="32"/>
        <v>12531.939999999999</v>
      </c>
      <c r="P16" s="185">
        <v>756</v>
      </c>
      <c r="Q16" s="184">
        <v>6540</v>
      </c>
      <c r="R16" s="183" t="s">
        <v>180</v>
      </c>
      <c r="S16" s="184">
        <v>5235.9399999999996</v>
      </c>
      <c r="T16" s="183">
        <f t="shared" si="33"/>
        <v>0</v>
      </c>
      <c r="U16" s="185"/>
      <c r="V16" s="184"/>
      <c r="W16" s="183" t="s">
        <v>180</v>
      </c>
      <c r="X16" s="184"/>
      <c r="Y16" s="183">
        <f t="shared" si="34"/>
        <v>0</v>
      </c>
      <c r="Z16" s="185"/>
      <c r="AA16" s="184"/>
      <c r="AB16" s="183" t="s">
        <v>180</v>
      </c>
      <c r="AC16" s="184"/>
      <c r="AD16" s="183">
        <f t="shared" si="35"/>
        <v>1839</v>
      </c>
      <c r="AE16" s="185"/>
      <c r="AF16" s="184">
        <v>1839</v>
      </c>
      <c r="AG16" s="183" t="s">
        <v>180</v>
      </c>
      <c r="AH16" s="184"/>
      <c r="AI16" s="183">
        <f t="shared" si="36"/>
        <v>0</v>
      </c>
      <c r="AJ16" s="185"/>
      <c r="AK16" s="184"/>
      <c r="AL16" s="183" t="s">
        <v>180</v>
      </c>
      <c r="AM16" s="184"/>
      <c r="AN16" s="183">
        <f t="shared" si="37"/>
        <v>50732.800000000003</v>
      </c>
      <c r="AO16" s="185"/>
      <c r="AP16" s="184">
        <v>3670.8</v>
      </c>
      <c r="AQ16" s="183" t="s">
        <v>180</v>
      </c>
      <c r="AR16" s="184">
        <v>47062</v>
      </c>
      <c r="AS16" s="183">
        <f t="shared" si="38"/>
        <v>55380.9</v>
      </c>
      <c r="AT16" s="185"/>
      <c r="AU16" s="184">
        <v>743.9</v>
      </c>
      <c r="AV16" s="183" t="s">
        <v>180</v>
      </c>
      <c r="AW16" s="184">
        <v>54637</v>
      </c>
      <c r="AX16" s="183">
        <f t="shared" si="39"/>
        <v>10909</v>
      </c>
      <c r="AY16" s="185"/>
      <c r="AZ16" s="184">
        <v>2279</v>
      </c>
      <c r="BA16" s="183" t="s">
        <v>180</v>
      </c>
      <c r="BB16" s="184">
        <v>8630</v>
      </c>
      <c r="BC16" s="183">
        <f t="shared" si="40"/>
        <v>12000</v>
      </c>
      <c r="BD16" s="185"/>
      <c r="BE16" s="184">
        <v>12000</v>
      </c>
      <c r="BF16" s="183" t="s">
        <v>180</v>
      </c>
      <c r="BG16" s="184"/>
      <c r="BH16" s="183">
        <f t="shared" si="41"/>
        <v>0</v>
      </c>
      <c r="BI16" s="185"/>
      <c r="BJ16" s="184"/>
      <c r="BK16" s="183" t="s">
        <v>180</v>
      </c>
      <c r="BL16" s="184"/>
      <c r="BM16" s="183">
        <f t="shared" si="42"/>
        <v>0</v>
      </c>
      <c r="BN16" s="185"/>
      <c r="BO16" s="184"/>
      <c r="BP16" s="183" t="s">
        <v>180</v>
      </c>
      <c r="BQ16" s="184"/>
      <c r="BR16" s="183">
        <f t="shared" si="43"/>
        <v>103</v>
      </c>
      <c r="BS16" s="185"/>
      <c r="BT16" s="184">
        <v>103</v>
      </c>
      <c r="BU16" s="183" t="s">
        <v>180</v>
      </c>
      <c r="BV16" s="184"/>
    </row>
    <row r="17" spans="1:74" s="144" customFormat="1" ht="15.95" customHeight="1" outlineLevel="1">
      <c r="A17" s="160" t="s">
        <v>625</v>
      </c>
      <c r="B17" s="165" t="s">
        <v>626</v>
      </c>
      <c r="C17" s="162"/>
      <c r="D17" s="163">
        <f t="shared" si="25"/>
        <v>0</v>
      </c>
      <c r="E17" s="164">
        <f t="shared" si="26"/>
        <v>959.43000000000029</v>
      </c>
      <c r="F17" s="164">
        <f t="shared" si="27"/>
        <v>0</v>
      </c>
      <c r="G17" s="164">
        <f t="shared" si="28"/>
        <v>959.43000000000029</v>
      </c>
      <c r="H17" s="164" t="str">
        <f t="shared" si="29"/>
        <v>——</v>
      </c>
      <c r="I17" s="164">
        <f t="shared" si="30"/>
        <v>0</v>
      </c>
      <c r="J17" s="164">
        <f t="shared" si="0"/>
        <v>19308.71</v>
      </c>
      <c r="K17" s="164">
        <f t="shared" si="31"/>
        <v>0</v>
      </c>
      <c r="L17" s="164">
        <f t="shared" si="1"/>
        <v>19308.71</v>
      </c>
      <c r="M17" s="164">
        <f t="shared" si="1"/>
        <v>0</v>
      </c>
      <c r="N17" s="164">
        <f t="shared" si="1"/>
        <v>0</v>
      </c>
      <c r="O17" s="183">
        <f t="shared" si="32"/>
        <v>2853.98</v>
      </c>
      <c r="P17" s="185"/>
      <c r="Q17" s="184">
        <v>2853.98</v>
      </c>
      <c r="R17" s="183" t="s">
        <v>180</v>
      </c>
      <c r="S17" s="184"/>
      <c r="T17" s="183">
        <f t="shared" si="33"/>
        <v>0</v>
      </c>
      <c r="U17" s="185"/>
      <c r="V17" s="184"/>
      <c r="W17" s="183" t="s">
        <v>180</v>
      </c>
      <c r="X17" s="184"/>
      <c r="Y17" s="183">
        <f t="shared" si="34"/>
        <v>3106.45</v>
      </c>
      <c r="Z17" s="185"/>
      <c r="AA17" s="184">
        <v>3106.45</v>
      </c>
      <c r="AB17" s="183" t="s">
        <v>180</v>
      </c>
      <c r="AC17" s="184"/>
      <c r="AD17" s="183">
        <f t="shared" si="35"/>
        <v>1505.56</v>
      </c>
      <c r="AE17" s="185"/>
      <c r="AF17" s="184">
        <v>1505.56</v>
      </c>
      <c r="AG17" s="183" t="s">
        <v>180</v>
      </c>
      <c r="AH17" s="184"/>
      <c r="AI17" s="183">
        <f t="shared" si="36"/>
        <v>220</v>
      </c>
      <c r="AJ17" s="185"/>
      <c r="AK17" s="184">
        <v>220</v>
      </c>
      <c r="AL17" s="183" t="s">
        <v>180</v>
      </c>
      <c r="AM17" s="184"/>
      <c r="AN17" s="183">
        <f t="shared" si="37"/>
        <v>0</v>
      </c>
      <c r="AO17" s="185"/>
      <c r="AP17" s="184"/>
      <c r="AQ17" s="183" t="s">
        <v>180</v>
      </c>
      <c r="AR17" s="184"/>
      <c r="AS17" s="183">
        <f t="shared" si="38"/>
        <v>0</v>
      </c>
      <c r="AT17" s="185"/>
      <c r="AU17" s="184"/>
      <c r="AV17" s="183" t="s">
        <v>180</v>
      </c>
      <c r="AW17" s="184"/>
      <c r="AX17" s="183">
        <f t="shared" si="39"/>
        <v>60</v>
      </c>
      <c r="AY17" s="185"/>
      <c r="AZ17" s="184">
        <v>60</v>
      </c>
      <c r="BA17" s="183" t="s">
        <v>180</v>
      </c>
      <c r="BB17" s="184"/>
      <c r="BC17" s="183">
        <f t="shared" si="40"/>
        <v>0</v>
      </c>
      <c r="BD17" s="185"/>
      <c r="BE17" s="184"/>
      <c r="BF17" s="183" t="s">
        <v>180</v>
      </c>
      <c r="BG17" s="184"/>
      <c r="BH17" s="183">
        <f t="shared" si="41"/>
        <v>1930.7199999999993</v>
      </c>
      <c r="BI17" s="185"/>
      <c r="BJ17" s="184">
        <v>1930.7199999999993</v>
      </c>
      <c r="BK17" s="183" t="s">
        <v>180</v>
      </c>
      <c r="BL17" s="184"/>
      <c r="BM17" s="183">
        <f t="shared" si="42"/>
        <v>8672.57</v>
      </c>
      <c r="BN17" s="185"/>
      <c r="BO17" s="184">
        <v>8672.57</v>
      </c>
      <c r="BP17" s="183" t="s">
        <v>180</v>
      </c>
      <c r="BQ17" s="184"/>
      <c r="BR17" s="183">
        <f t="shared" si="43"/>
        <v>959.43000000000029</v>
      </c>
      <c r="BS17" s="185"/>
      <c r="BT17" s="184">
        <v>959.43000000000029</v>
      </c>
      <c r="BU17" s="183" t="s">
        <v>180</v>
      </c>
      <c r="BV17" s="184"/>
    </row>
    <row r="18" spans="1:74" s="144" customFormat="1" ht="15.95" customHeight="1" outlineLevel="1">
      <c r="A18" s="160" t="s">
        <v>627</v>
      </c>
      <c r="B18" s="165" t="s">
        <v>628</v>
      </c>
      <c r="C18" s="162"/>
      <c r="D18" s="163">
        <f t="shared" si="25"/>
        <v>0</v>
      </c>
      <c r="E18" s="164">
        <f t="shared" si="26"/>
        <v>500</v>
      </c>
      <c r="F18" s="164">
        <f t="shared" si="27"/>
        <v>0</v>
      </c>
      <c r="G18" s="164">
        <f t="shared" si="28"/>
        <v>500</v>
      </c>
      <c r="H18" s="164" t="str">
        <f t="shared" si="29"/>
        <v>——</v>
      </c>
      <c r="I18" s="164">
        <f t="shared" si="30"/>
        <v>0</v>
      </c>
      <c r="J18" s="164">
        <f t="shared" si="0"/>
        <v>11842.78</v>
      </c>
      <c r="K18" s="164">
        <f t="shared" si="31"/>
        <v>0</v>
      </c>
      <c r="L18" s="164">
        <f t="shared" si="1"/>
        <v>11842.78</v>
      </c>
      <c r="M18" s="164">
        <f t="shared" si="1"/>
        <v>0</v>
      </c>
      <c r="N18" s="164">
        <f t="shared" si="1"/>
        <v>0</v>
      </c>
      <c r="O18" s="183">
        <f t="shared" si="32"/>
        <v>8601.44</v>
      </c>
      <c r="P18" s="185"/>
      <c r="Q18" s="184">
        <v>8601.44</v>
      </c>
      <c r="R18" s="183" t="s">
        <v>180</v>
      </c>
      <c r="S18" s="184"/>
      <c r="T18" s="183">
        <f t="shared" si="33"/>
        <v>0</v>
      </c>
      <c r="U18" s="185"/>
      <c r="V18" s="184"/>
      <c r="W18" s="183" t="s">
        <v>180</v>
      </c>
      <c r="X18" s="184"/>
      <c r="Y18" s="183">
        <f t="shared" si="34"/>
        <v>0</v>
      </c>
      <c r="Z18" s="185"/>
      <c r="AA18" s="184"/>
      <c r="AB18" s="183" t="s">
        <v>180</v>
      </c>
      <c r="AC18" s="184"/>
      <c r="AD18" s="183">
        <f t="shared" si="35"/>
        <v>2741.34</v>
      </c>
      <c r="AE18" s="185"/>
      <c r="AF18" s="184">
        <v>2741.34</v>
      </c>
      <c r="AG18" s="183" t="s">
        <v>180</v>
      </c>
      <c r="AH18" s="184"/>
      <c r="AI18" s="183">
        <f t="shared" si="36"/>
        <v>0</v>
      </c>
      <c r="AJ18" s="185"/>
      <c r="AK18" s="184"/>
      <c r="AL18" s="183" t="s">
        <v>180</v>
      </c>
      <c r="AM18" s="184"/>
      <c r="AN18" s="183">
        <f t="shared" si="37"/>
        <v>0</v>
      </c>
      <c r="AO18" s="185"/>
      <c r="AP18" s="184"/>
      <c r="AQ18" s="183" t="s">
        <v>180</v>
      </c>
      <c r="AR18" s="184"/>
      <c r="AS18" s="183">
        <f t="shared" si="38"/>
        <v>0</v>
      </c>
      <c r="AT18" s="185"/>
      <c r="AU18" s="184"/>
      <c r="AV18" s="183" t="s">
        <v>180</v>
      </c>
      <c r="AW18" s="184"/>
      <c r="AX18" s="183">
        <f t="shared" si="39"/>
        <v>0</v>
      </c>
      <c r="AY18" s="185"/>
      <c r="AZ18" s="184"/>
      <c r="BA18" s="183" t="s">
        <v>180</v>
      </c>
      <c r="BB18" s="184"/>
      <c r="BC18" s="183">
        <f t="shared" si="40"/>
        <v>0</v>
      </c>
      <c r="BD18" s="185"/>
      <c r="BE18" s="184"/>
      <c r="BF18" s="183" t="s">
        <v>180</v>
      </c>
      <c r="BG18" s="184"/>
      <c r="BH18" s="183">
        <f t="shared" si="41"/>
        <v>0</v>
      </c>
      <c r="BI18" s="185"/>
      <c r="BJ18" s="184"/>
      <c r="BK18" s="183" t="s">
        <v>180</v>
      </c>
      <c r="BL18" s="184"/>
      <c r="BM18" s="183">
        <f t="shared" si="42"/>
        <v>0</v>
      </c>
      <c r="BN18" s="185"/>
      <c r="BO18" s="184"/>
      <c r="BP18" s="183" t="s">
        <v>180</v>
      </c>
      <c r="BQ18" s="184"/>
      <c r="BR18" s="183">
        <f t="shared" si="43"/>
        <v>500</v>
      </c>
      <c r="BS18" s="185"/>
      <c r="BT18" s="184">
        <v>500</v>
      </c>
      <c r="BU18" s="183" t="s">
        <v>180</v>
      </c>
      <c r="BV18" s="184"/>
    </row>
    <row r="19" spans="1:74" s="144" customFormat="1" ht="15.95" customHeight="1" outlineLevel="1">
      <c r="A19" s="160" t="s">
        <v>629</v>
      </c>
      <c r="B19" s="165" t="s">
        <v>630</v>
      </c>
      <c r="C19" s="162"/>
      <c r="D19" s="163">
        <f t="shared" si="25"/>
        <v>0</v>
      </c>
      <c r="E19" s="164">
        <f t="shared" si="26"/>
        <v>0</v>
      </c>
      <c r="F19" s="164">
        <f t="shared" si="27"/>
        <v>0</v>
      </c>
      <c r="G19" s="164">
        <f t="shared" si="28"/>
        <v>0</v>
      </c>
      <c r="H19" s="164" t="str">
        <f t="shared" si="29"/>
        <v>——</v>
      </c>
      <c r="I19" s="164">
        <f t="shared" si="30"/>
        <v>0</v>
      </c>
      <c r="J19" s="164">
        <f t="shared" si="0"/>
        <v>0</v>
      </c>
      <c r="K19" s="164">
        <f t="shared" si="31"/>
        <v>0</v>
      </c>
      <c r="L19" s="164">
        <f t="shared" si="1"/>
        <v>0</v>
      </c>
      <c r="M19" s="164">
        <f t="shared" si="1"/>
        <v>0</v>
      </c>
      <c r="N19" s="164">
        <f t="shared" si="1"/>
        <v>0</v>
      </c>
      <c r="O19" s="183">
        <f t="shared" si="32"/>
        <v>0</v>
      </c>
      <c r="P19" s="185"/>
      <c r="Q19" s="184"/>
      <c r="R19" s="183" t="s">
        <v>180</v>
      </c>
      <c r="S19" s="184"/>
      <c r="T19" s="183">
        <f t="shared" si="33"/>
        <v>0</v>
      </c>
      <c r="U19" s="185"/>
      <c r="V19" s="184"/>
      <c r="W19" s="183" t="s">
        <v>180</v>
      </c>
      <c r="X19" s="184"/>
      <c r="Y19" s="183">
        <f t="shared" si="34"/>
        <v>0</v>
      </c>
      <c r="Z19" s="185"/>
      <c r="AA19" s="184"/>
      <c r="AB19" s="183" t="s">
        <v>180</v>
      </c>
      <c r="AC19" s="184"/>
      <c r="AD19" s="183">
        <f t="shared" si="35"/>
        <v>0</v>
      </c>
      <c r="AE19" s="185"/>
      <c r="AF19" s="184"/>
      <c r="AG19" s="183" t="s">
        <v>180</v>
      </c>
      <c r="AH19" s="184"/>
      <c r="AI19" s="183">
        <f t="shared" si="36"/>
        <v>0</v>
      </c>
      <c r="AJ19" s="185"/>
      <c r="AK19" s="184"/>
      <c r="AL19" s="183" t="s">
        <v>180</v>
      </c>
      <c r="AM19" s="184"/>
      <c r="AN19" s="183">
        <f t="shared" si="37"/>
        <v>0</v>
      </c>
      <c r="AO19" s="185"/>
      <c r="AP19" s="184"/>
      <c r="AQ19" s="183" t="s">
        <v>180</v>
      </c>
      <c r="AR19" s="184"/>
      <c r="AS19" s="183">
        <f t="shared" si="38"/>
        <v>0</v>
      </c>
      <c r="AT19" s="185"/>
      <c r="AU19" s="184"/>
      <c r="AV19" s="183" t="s">
        <v>180</v>
      </c>
      <c r="AW19" s="184"/>
      <c r="AX19" s="183">
        <f t="shared" si="39"/>
        <v>0</v>
      </c>
      <c r="AY19" s="185"/>
      <c r="AZ19" s="184"/>
      <c r="BA19" s="183" t="s">
        <v>180</v>
      </c>
      <c r="BB19" s="184"/>
      <c r="BC19" s="183">
        <f t="shared" si="40"/>
        <v>0</v>
      </c>
      <c r="BD19" s="185"/>
      <c r="BE19" s="184"/>
      <c r="BF19" s="183" t="s">
        <v>180</v>
      </c>
      <c r="BG19" s="184"/>
      <c r="BH19" s="183">
        <f t="shared" si="41"/>
        <v>0</v>
      </c>
      <c r="BI19" s="185"/>
      <c r="BJ19" s="184"/>
      <c r="BK19" s="183" t="s">
        <v>180</v>
      </c>
      <c r="BL19" s="184"/>
      <c r="BM19" s="183">
        <f t="shared" si="42"/>
        <v>0</v>
      </c>
      <c r="BN19" s="185"/>
      <c r="BO19" s="184"/>
      <c r="BP19" s="183" t="s">
        <v>180</v>
      </c>
      <c r="BQ19" s="184"/>
      <c r="BR19" s="183">
        <f t="shared" si="43"/>
        <v>0</v>
      </c>
      <c r="BS19" s="185"/>
      <c r="BT19" s="184"/>
      <c r="BU19" s="183" t="s">
        <v>180</v>
      </c>
      <c r="BV19" s="184"/>
    </row>
    <row r="20" spans="1:74" s="144" customFormat="1" ht="15.95" customHeight="1" outlineLevel="1">
      <c r="A20" s="160" t="s">
        <v>631</v>
      </c>
      <c r="B20" s="165" t="s">
        <v>632</v>
      </c>
      <c r="C20" s="162"/>
      <c r="D20" s="163">
        <f t="shared" si="25"/>
        <v>0</v>
      </c>
      <c r="E20" s="164">
        <f t="shared" si="26"/>
        <v>0</v>
      </c>
      <c r="F20" s="164">
        <f t="shared" si="27"/>
        <v>0</v>
      </c>
      <c r="G20" s="164">
        <f t="shared" si="28"/>
        <v>0</v>
      </c>
      <c r="H20" s="164" t="str">
        <f t="shared" si="29"/>
        <v>——</v>
      </c>
      <c r="I20" s="164">
        <f t="shared" si="30"/>
        <v>0</v>
      </c>
      <c r="J20" s="164">
        <f t="shared" si="0"/>
        <v>0</v>
      </c>
      <c r="K20" s="164">
        <f t="shared" si="31"/>
        <v>0</v>
      </c>
      <c r="L20" s="164">
        <f t="shared" si="1"/>
        <v>0</v>
      </c>
      <c r="M20" s="164">
        <f t="shared" si="1"/>
        <v>0</v>
      </c>
      <c r="N20" s="164">
        <f t="shared" si="1"/>
        <v>0</v>
      </c>
      <c r="O20" s="183">
        <f t="shared" si="32"/>
        <v>0</v>
      </c>
      <c r="P20" s="185"/>
      <c r="Q20" s="184"/>
      <c r="R20" s="183" t="s">
        <v>180</v>
      </c>
      <c r="S20" s="184"/>
      <c r="T20" s="183">
        <f t="shared" si="33"/>
        <v>0</v>
      </c>
      <c r="U20" s="185"/>
      <c r="V20" s="184"/>
      <c r="W20" s="183" t="s">
        <v>180</v>
      </c>
      <c r="X20" s="184"/>
      <c r="Y20" s="183">
        <f t="shared" si="34"/>
        <v>0</v>
      </c>
      <c r="Z20" s="185"/>
      <c r="AA20" s="184"/>
      <c r="AB20" s="183" t="s">
        <v>180</v>
      </c>
      <c r="AC20" s="184"/>
      <c r="AD20" s="183">
        <f t="shared" si="35"/>
        <v>0</v>
      </c>
      <c r="AE20" s="185"/>
      <c r="AF20" s="184"/>
      <c r="AG20" s="183" t="s">
        <v>180</v>
      </c>
      <c r="AH20" s="184"/>
      <c r="AI20" s="183">
        <f t="shared" si="36"/>
        <v>0</v>
      </c>
      <c r="AJ20" s="185"/>
      <c r="AK20" s="184"/>
      <c r="AL20" s="183" t="s">
        <v>180</v>
      </c>
      <c r="AM20" s="184"/>
      <c r="AN20" s="183">
        <f t="shared" si="37"/>
        <v>0</v>
      </c>
      <c r="AO20" s="185"/>
      <c r="AP20" s="184"/>
      <c r="AQ20" s="183" t="s">
        <v>180</v>
      </c>
      <c r="AR20" s="184"/>
      <c r="AS20" s="183">
        <f t="shared" si="38"/>
        <v>0</v>
      </c>
      <c r="AT20" s="185"/>
      <c r="AU20" s="184"/>
      <c r="AV20" s="183" t="s">
        <v>180</v>
      </c>
      <c r="AW20" s="184"/>
      <c r="AX20" s="183">
        <f t="shared" si="39"/>
        <v>0</v>
      </c>
      <c r="AY20" s="185"/>
      <c r="AZ20" s="184"/>
      <c r="BA20" s="183" t="s">
        <v>180</v>
      </c>
      <c r="BB20" s="184"/>
      <c r="BC20" s="183">
        <f t="shared" si="40"/>
        <v>0</v>
      </c>
      <c r="BD20" s="185"/>
      <c r="BE20" s="184"/>
      <c r="BF20" s="183" t="s">
        <v>180</v>
      </c>
      <c r="BG20" s="184"/>
      <c r="BH20" s="183">
        <f t="shared" si="41"/>
        <v>0</v>
      </c>
      <c r="BI20" s="185"/>
      <c r="BJ20" s="184"/>
      <c r="BK20" s="183" t="s">
        <v>180</v>
      </c>
      <c r="BL20" s="184"/>
      <c r="BM20" s="183">
        <f t="shared" si="42"/>
        <v>0</v>
      </c>
      <c r="BN20" s="185"/>
      <c r="BO20" s="184"/>
      <c r="BP20" s="183" t="s">
        <v>180</v>
      </c>
      <c r="BQ20" s="184"/>
      <c r="BR20" s="183">
        <f t="shared" si="43"/>
        <v>0</v>
      </c>
      <c r="BS20" s="185"/>
      <c r="BT20" s="184"/>
      <c r="BU20" s="183" t="s">
        <v>180</v>
      </c>
      <c r="BV20" s="184"/>
    </row>
    <row r="21" spans="1:74" s="144" customFormat="1" ht="15.95" customHeight="1" outlineLevel="1">
      <c r="A21" s="160" t="s">
        <v>633</v>
      </c>
      <c r="B21" s="165" t="s">
        <v>634</v>
      </c>
      <c r="C21" s="162"/>
      <c r="D21" s="163">
        <f t="shared" si="25"/>
        <v>0</v>
      </c>
      <c r="E21" s="164">
        <f t="shared" si="26"/>
        <v>2272.0799999999981</v>
      </c>
      <c r="F21" s="164">
        <f t="shared" si="27"/>
        <v>0</v>
      </c>
      <c r="G21" s="164">
        <f t="shared" si="28"/>
        <v>2272.0799999999981</v>
      </c>
      <c r="H21" s="164" t="str">
        <f t="shared" si="29"/>
        <v>——</v>
      </c>
      <c r="I21" s="164">
        <f t="shared" si="30"/>
        <v>0</v>
      </c>
      <c r="J21" s="164">
        <f t="shared" si="0"/>
        <v>21193.489999999998</v>
      </c>
      <c r="K21" s="164">
        <f t="shared" si="31"/>
        <v>182</v>
      </c>
      <c r="L21" s="164">
        <f t="shared" si="1"/>
        <v>19477.3</v>
      </c>
      <c r="M21" s="164">
        <f t="shared" si="1"/>
        <v>0</v>
      </c>
      <c r="N21" s="164">
        <f t="shared" si="1"/>
        <v>1534.19</v>
      </c>
      <c r="O21" s="183">
        <f t="shared" si="32"/>
        <v>3278.34</v>
      </c>
      <c r="P21" s="185">
        <v>62</v>
      </c>
      <c r="Q21" s="184">
        <v>2132.15</v>
      </c>
      <c r="R21" s="183" t="s">
        <v>180</v>
      </c>
      <c r="S21" s="184">
        <v>1084.19</v>
      </c>
      <c r="T21" s="183">
        <f t="shared" si="33"/>
        <v>0</v>
      </c>
      <c r="U21" s="185"/>
      <c r="V21" s="184"/>
      <c r="W21" s="183" t="s">
        <v>180</v>
      </c>
      <c r="X21" s="184"/>
      <c r="Y21" s="183">
        <f t="shared" si="34"/>
        <v>2192</v>
      </c>
      <c r="Z21" s="185">
        <v>120</v>
      </c>
      <c r="AA21" s="184">
        <v>1713</v>
      </c>
      <c r="AB21" s="183" t="s">
        <v>180</v>
      </c>
      <c r="AC21" s="184">
        <v>359</v>
      </c>
      <c r="AD21" s="183">
        <f t="shared" si="35"/>
        <v>2877.57</v>
      </c>
      <c r="AE21" s="185"/>
      <c r="AF21" s="184">
        <v>2877.57</v>
      </c>
      <c r="AG21" s="183" t="s">
        <v>180</v>
      </c>
      <c r="AH21" s="184"/>
      <c r="AI21" s="183">
        <f t="shared" si="36"/>
        <v>2307.5</v>
      </c>
      <c r="AJ21" s="185"/>
      <c r="AK21" s="184">
        <v>2216.5</v>
      </c>
      <c r="AL21" s="183" t="s">
        <v>180</v>
      </c>
      <c r="AM21" s="184">
        <v>91</v>
      </c>
      <c r="AN21" s="183">
        <f t="shared" si="37"/>
        <v>2148</v>
      </c>
      <c r="AO21" s="185"/>
      <c r="AP21" s="184">
        <v>2148</v>
      </c>
      <c r="AQ21" s="183" t="s">
        <v>180</v>
      </c>
      <c r="AR21" s="184"/>
      <c r="AS21" s="183">
        <f t="shared" si="38"/>
        <v>2603</v>
      </c>
      <c r="AT21" s="185"/>
      <c r="AU21" s="184">
        <v>2603</v>
      </c>
      <c r="AV21" s="183" t="s">
        <v>180</v>
      </c>
      <c r="AW21" s="184"/>
      <c r="AX21" s="183">
        <f t="shared" si="39"/>
        <v>546</v>
      </c>
      <c r="AY21" s="185"/>
      <c r="AZ21" s="184">
        <v>546</v>
      </c>
      <c r="BA21" s="183" t="s">
        <v>180</v>
      </c>
      <c r="BB21" s="184"/>
      <c r="BC21" s="183">
        <f t="shared" si="40"/>
        <v>1264</v>
      </c>
      <c r="BD21" s="185"/>
      <c r="BE21" s="184">
        <v>1264</v>
      </c>
      <c r="BF21" s="183" t="s">
        <v>180</v>
      </c>
      <c r="BG21" s="184"/>
      <c r="BH21" s="183">
        <f t="shared" si="41"/>
        <v>1705.0000000000018</v>
      </c>
      <c r="BI21" s="185"/>
      <c r="BJ21" s="184">
        <v>1705.0000000000018</v>
      </c>
      <c r="BK21" s="183" t="s">
        <v>180</v>
      </c>
      <c r="BL21" s="184"/>
      <c r="BM21" s="183">
        <f t="shared" si="42"/>
        <v>0</v>
      </c>
      <c r="BN21" s="185"/>
      <c r="BO21" s="184"/>
      <c r="BP21" s="183" t="s">
        <v>180</v>
      </c>
      <c r="BQ21" s="184"/>
      <c r="BR21" s="183">
        <f t="shared" si="43"/>
        <v>2272.0799999999981</v>
      </c>
      <c r="BS21" s="185"/>
      <c r="BT21" s="184">
        <v>2272.0799999999981</v>
      </c>
      <c r="BU21" s="183" t="s">
        <v>180</v>
      </c>
      <c r="BV21" s="184"/>
    </row>
    <row r="22" spans="1:74" s="144" customFormat="1" ht="15.95" customHeight="1" outlineLevel="1">
      <c r="A22" s="160" t="s">
        <v>635</v>
      </c>
      <c r="B22" s="165" t="s">
        <v>636</v>
      </c>
      <c r="C22" s="162"/>
      <c r="D22" s="163">
        <f t="shared" si="25"/>
        <v>0</v>
      </c>
      <c r="E22" s="164">
        <f t="shared" si="26"/>
        <v>1323.0900000000001</v>
      </c>
      <c r="F22" s="164">
        <f t="shared" si="27"/>
        <v>0</v>
      </c>
      <c r="G22" s="164">
        <f t="shared" si="28"/>
        <v>349</v>
      </c>
      <c r="H22" s="164" t="str">
        <f t="shared" si="29"/>
        <v>——</v>
      </c>
      <c r="I22" s="164">
        <f t="shared" si="30"/>
        <v>974.09</v>
      </c>
      <c r="J22" s="164">
        <f t="shared" si="0"/>
        <v>120933.85000000002</v>
      </c>
      <c r="K22" s="164">
        <f t="shared" si="31"/>
        <v>0</v>
      </c>
      <c r="L22" s="164">
        <f t="shared" si="1"/>
        <v>118266.76000000002</v>
      </c>
      <c r="M22" s="164">
        <f t="shared" si="1"/>
        <v>0</v>
      </c>
      <c r="N22" s="164">
        <f t="shared" si="1"/>
        <v>2667.09</v>
      </c>
      <c r="O22" s="183">
        <f t="shared" si="32"/>
        <v>26016.129999999946</v>
      </c>
      <c r="P22" s="185"/>
      <c r="Q22" s="184">
        <v>25998.129999999946</v>
      </c>
      <c r="R22" s="183" t="s">
        <v>180</v>
      </c>
      <c r="S22" s="184">
        <v>18</v>
      </c>
      <c r="T22" s="183">
        <f t="shared" si="33"/>
        <v>0</v>
      </c>
      <c r="U22" s="185"/>
      <c r="V22" s="184"/>
      <c r="W22" s="183" t="s">
        <v>180</v>
      </c>
      <c r="X22" s="184"/>
      <c r="Y22" s="183">
        <f t="shared" si="34"/>
        <v>13736.79</v>
      </c>
      <c r="Z22" s="185"/>
      <c r="AA22" s="184">
        <v>13736.79</v>
      </c>
      <c r="AB22" s="183" t="s">
        <v>180</v>
      </c>
      <c r="AC22" s="184"/>
      <c r="AD22" s="183">
        <f t="shared" si="35"/>
        <v>32531.58</v>
      </c>
      <c r="AE22" s="185"/>
      <c r="AF22" s="184">
        <v>32531.58</v>
      </c>
      <c r="AG22" s="183" t="s">
        <v>180</v>
      </c>
      <c r="AH22" s="184"/>
      <c r="AI22" s="183">
        <f t="shared" si="36"/>
        <v>1657.11</v>
      </c>
      <c r="AJ22" s="185"/>
      <c r="AK22" s="184">
        <v>1657.11</v>
      </c>
      <c r="AL22" s="183" t="s">
        <v>180</v>
      </c>
      <c r="AM22" s="184"/>
      <c r="AN22" s="183">
        <f t="shared" si="37"/>
        <v>464.6</v>
      </c>
      <c r="AO22" s="185"/>
      <c r="AP22" s="184">
        <v>464.6</v>
      </c>
      <c r="AQ22" s="183" t="s">
        <v>180</v>
      </c>
      <c r="AR22" s="184"/>
      <c r="AS22" s="183">
        <f t="shared" si="38"/>
        <v>18608.419999999998</v>
      </c>
      <c r="AT22" s="185"/>
      <c r="AU22" s="184">
        <v>16933.419999999998</v>
      </c>
      <c r="AV22" s="183" t="s">
        <v>180</v>
      </c>
      <c r="AW22" s="184">
        <v>1675</v>
      </c>
      <c r="AX22" s="183">
        <f t="shared" si="39"/>
        <v>2970.24</v>
      </c>
      <c r="AY22" s="185"/>
      <c r="AZ22" s="184">
        <v>2970.24</v>
      </c>
      <c r="BA22" s="183" t="s">
        <v>180</v>
      </c>
      <c r="BB22" s="184"/>
      <c r="BC22" s="183">
        <f t="shared" si="40"/>
        <v>21822.830000000075</v>
      </c>
      <c r="BD22" s="185"/>
      <c r="BE22" s="184">
        <v>21822.830000000075</v>
      </c>
      <c r="BF22" s="183" t="s">
        <v>180</v>
      </c>
      <c r="BG22" s="184"/>
      <c r="BH22" s="183">
        <f t="shared" si="41"/>
        <v>1803.06</v>
      </c>
      <c r="BI22" s="185"/>
      <c r="BJ22" s="184">
        <f>2080.06-277</f>
        <v>1803.06</v>
      </c>
      <c r="BK22" s="183" t="s">
        <v>180</v>
      </c>
      <c r="BL22" s="184"/>
      <c r="BM22" s="183">
        <f t="shared" si="42"/>
        <v>0</v>
      </c>
      <c r="BN22" s="185"/>
      <c r="BO22" s="184"/>
      <c r="BP22" s="183" t="s">
        <v>180</v>
      </c>
      <c r="BQ22" s="184"/>
      <c r="BR22" s="183">
        <f t="shared" si="43"/>
        <v>1323.0900000000001</v>
      </c>
      <c r="BS22" s="185"/>
      <c r="BT22" s="184">
        <v>349</v>
      </c>
      <c r="BU22" s="183" t="s">
        <v>180</v>
      </c>
      <c r="BV22" s="184">
        <v>974.09</v>
      </c>
    </row>
    <row r="23" spans="1:74" s="144" customFormat="1" ht="15.95" customHeight="1" outlineLevel="1">
      <c r="A23" s="160" t="s">
        <v>637</v>
      </c>
      <c r="B23" s="165" t="s">
        <v>638</v>
      </c>
      <c r="C23" s="162"/>
      <c r="D23" s="163">
        <f t="shared" si="25"/>
        <v>0</v>
      </c>
      <c r="E23" s="164">
        <f t="shared" si="26"/>
        <v>0</v>
      </c>
      <c r="F23" s="164">
        <f t="shared" si="27"/>
        <v>0</v>
      </c>
      <c r="G23" s="164">
        <f t="shared" si="28"/>
        <v>0</v>
      </c>
      <c r="H23" s="164" t="str">
        <f t="shared" si="29"/>
        <v>——</v>
      </c>
      <c r="I23" s="164">
        <f t="shared" si="30"/>
        <v>0</v>
      </c>
      <c r="J23" s="164">
        <f t="shared" si="0"/>
        <v>0</v>
      </c>
      <c r="K23" s="164">
        <f t="shared" si="31"/>
        <v>0</v>
      </c>
      <c r="L23" s="164">
        <f t="shared" si="31"/>
        <v>0</v>
      </c>
      <c r="M23" s="164">
        <f t="shared" si="31"/>
        <v>0</v>
      </c>
      <c r="N23" s="164">
        <f t="shared" si="31"/>
        <v>0</v>
      </c>
      <c r="O23" s="183">
        <f t="shared" si="32"/>
        <v>0</v>
      </c>
      <c r="P23" s="185"/>
      <c r="Q23" s="184"/>
      <c r="R23" s="183" t="s">
        <v>180</v>
      </c>
      <c r="S23" s="184"/>
      <c r="T23" s="183">
        <f t="shared" si="33"/>
        <v>0</v>
      </c>
      <c r="U23" s="185"/>
      <c r="V23" s="184"/>
      <c r="W23" s="183" t="s">
        <v>180</v>
      </c>
      <c r="X23" s="184"/>
      <c r="Y23" s="183">
        <f t="shared" si="34"/>
        <v>0</v>
      </c>
      <c r="Z23" s="185"/>
      <c r="AA23" s="184"/>
      <c r="AB23" s="183" t="s">
        <v>180</v>
      </c>
      <c r="AC23" s="184"/>
      <c r="AD23" s="183">
        <f t="shared" si="35"/>
        <v>0</v>
      </c>
      <c r="AE23" s="185"/>
      <c r="AF23" s="184"/>
      <c r="AG23" s="183" t="s">
        <v>180</v>
      </c>
      <c r="AH23" s="184"/>
      <c r="AI23" s="183">
        <f t="shared" si="36"/>
        <v>0</v>
      </c>
      <c r="AJ23" s="185"/>
      <c r="AK23" s="184"/>
      <c r="AL23" s="183" t="s">
        <v>180</v>
      </c>
      <c r="AM23" s="184"/>
      <c r="AN23" s="183">
        <f t="shared" si="37"/>
        <v>0</v>
      </c>
      <c r="AO23" s="185"/>
      <c r="AP23" s="184"/>
      <c r="AQ23" s="183" t="s">
        <v>180</v>
      </c>
      <c r="AR23" s="184"/>
      <c r="AS23" s="183">
        <f t="shared" si="38"/>
        <v>0</v>
      </c>
      <c r="AT23" s="185"/>
      <c r="AU23" s="184"/>
      <c r="AV23" s="183" t="s">
        <v>180</v>
      </c>
      <c r="AW23" s="184"/>
      <c r="AX23" s="183">
        <f t="shared" si="39"/>
        <v>0</v>
      </c>
      <c r="AY23" s="185"/>
      <c r="AZ23" s="184"/>
      <c r="BA23" s="183" t="s">
        <v>180</v>
      </c>
      <c r="BB23" s="184"/>
      <c r="BC23" s="183">
        <f t="shared" si="40"/>
        <v>0</v>
      </c>
      <c r="BD23" s="185"/>
      <c r="BE23" s="184"/>
      <c r="BF23" s="183" t="s">
        <v>180</v>
      </c>
      <c r="BG23" s="184"/>
      <c r="BH23" s="183">
        <f t="shared" si="41"/>
        <v>0</v>
      </c>
      <c r="BI23" s="185"/>
      <c r="BJ23" s="184"/>
      <c r="BK23" s="183" t="s">
        <v>180</v>
      </c>
      <c r="BL23" s="184"/>
      <c r="BM23" s="183">
        <f t="shared" si="42"/>
        <v>0</v>
      </c>
      <c r="BN23" s="185"/>
      <c r="BO23" s="184"/>
      <c r="BP23" s="183" t="s">
        <v>180</v>
      </c>
      <c r="BQ23" s="184"/>
      <c r="BR23" s="183">
        <f t="shared" si="43"/>
        <v>0</v>
      </c>
      <c r="BS23" s="185"/>
      <c r="BT23" s="184"/>
      <c r="BU23" s="183" t="s">
        <v>180</v>
      </c>
      <c r="BV23" s="184"/>
    </row>
    <row r="24" spans="1:74" s="144" customFormat="1" ht="15.95" customHeight="1" outlineLevel="1">
      <c r="A24" s="160" t="s">
        <v>639</v>
      </c>
      <c r="B24" s="165" t="s">
        <v>640</v>
      </c>
      <c r="C24" s="162"/>
      <c r="D24" s="163">
        <f t="shared" si="25"/>
        <v>0</v>
      </c>
      <c r="E24" s="164">
        <f t="shared" si="26"/>
        <v>0</v>
      </c>
      <c r="F24" s="164">
        <f t="shared" si="27"/>
        <v>0</v>
      </c>
      <c r="G24" s="164">
        <f t="shared" si="28"/>
        <v>0</v>
      </c>
      <c r="H24" s="164" t="str">
        <f t="shared" si="29"/>
        <v>——</v>
      </c>
      <c r="I24" s="164">
        <f t="shared" si="30"/>
        <v>0</v>
      </c>
      <c r="J24" s="164">
        <f t="shared" si="0"/>
        <v>27165.660000000003</v>
      </c>
      <c r="K24" s="164">
        <f t="shared" si="31"/>
        <v>0</v>
      </c>
      <c r="L24" s="164">
        <f t="shared" si="31"/>
        <v>27165.660000000003</v>
      </c>
      <c r="M24" s="164">
        <f t="shared" si="31"/>
        <v>0</v>
      </c>
      <c r="N24" s="164">
        <f t="shared" si="31"/>
        <v>0</v>
      </c>
      <c r="O24" s="183">
        <f t="shared" si="32"/>
        <v>0</v>
      </c>
      <c r="P24" s="185"/>
      <c r="Q24" s="184"/>
      <c r="R24" s="183" t="s">
        <v>180</v>
      </c>
      <c r="S24" s="184"/>
      <c r="T24" s="183">
        <f t="shared" si="33"/>
        <v>10125.66</v>
      </c>
      <c r="U24" s="185"/>
      <c r="V24" s="184">
        <v>10125.66</v>
      </c>
      <c r="W24" s="183" t="s">
        <v>180</v>
      </c>
      <c r="X24" s="184"/>
      <c r="Y24" s="183">
        <f t="shared" si="34"/>
        <v>4134.16</v>
      </c>
      <c r="Z24" s="185"/>
      <c r="AA24" s="184">
        <v>4134.16</v>
      </c>
      <c r="AB24" s="183" t="s">
        <v>180</v>
      </c>
      <c r="AC24" s="184"/>
      <c r="AD24" s="183">
        <f t="shared" si="35"/>
        <v>5127.08</v>
      </c>
      <c r="AE24" s="185"/>
      <c r="AF24" s="184">
        <v>5127.08</v>
      </c>
      <c r="AG24" s="183" t="s">
        <v>180</v>
      </c>
      <c r="AH24" s="184"/>
      <c r="AI24" s="183">
        <f t="shared" si="36"/>
        <v>4815.93</v>
      </c>
      <c r="AJ24" s="185"/>
      <c r="AK24" s="184">
        <v>4815.93</v>
      </c>
      <c r="AL24" s="183" t="s">
        <v>180</v>
      </c>
      <c r="AM24" s="184"/>
      <c r="AN24" s="183">
        <f t="shared" si="37"/>
        <v>0</v>
      </c>
      <c r="AO24" s="185"/>
      <c r="AP24" s="184"/>
      <c r="AQ24" s="183" t="s">
        <v>180</v>
      </c>
      <c r="AR24" s="184"/>
      <c r="AS24" s="183">
        <f t="shared" si="38"/>
        <v>2962.83</v>
      </c>
      <c r="AT24" s="185"/>
      <c r="AU24" s="184">
        <v>2962.83</v>
      </c>
      <c r="AV24" s="183" t="s">
        <v>180</v>
      </c>
      <c r="AW24" s="184"/>
      <c r="AX24" s="183">
        <f t="shared" si="39"/>
        <v>0</v>
      </c>
      <c r="AY24" s="185"/>
      <c r="AZ24" s="184"/>
      <c r="BA24" s="183" t="s">
        <v>180</v>
      </c>
      <c r="BB24" s="184"/>
      <c r="BC24" s="183">
        <f t="shared" si="40"/>
        <v>0</v>
      </c>
      <c r="BD24" s="185"/>
      <c r="BE24" s="184"/>
      <c r="BF24" s="183" t="s">
        <v>180</v>
      </c>
      <c r="BG24" s="184"/>
      <c r="BH24" s="183">
        <f t="shared" si="41"/>
        <v>0</v>
      </c>
      <c r="BI24" s="185"/>
      <c r="BJ24" s="184"/>
      <c r="BK24" s="183" t="s">
        <v>180</v>
      </c>
      <c r="BL24" s="184"/>
      <c r="BM24" s="183">
        <f t="shared" si="42"/>
        <v>0</v>
      </c>
      <c r="BN24" s="185"/>
      <c r="BO24" s="184"/>
      <c r="BP24" s="183" t="s">
        <v>180</v>
      </c>
      <c r="BQ24" s="184"/>
      <c r="BR24" s="183">
        <f t="shared" si="43"/>
        <v>0</v>
      </c>
      <c r="BS24" s="185"/>
      <c r="BT24" s="184"/>
      <c r="BU24" s="183" t="s">
        <v>180</v>
      </c>
      <c r="BV24" s="184"/>
    </row>
    <row r="25" spans="1:74" s="144" customFormat="1" ht="15.95" customHeight="1" outlineLevel="1">
      <c r="A25" s="160" t="s">
        <v>641</v>
      </c>
      <c r="B25" s="165" t="s">
        <v>642</v>
      </c>
      <c r="C25" s="162"/>
      <c r="D25" s="163">
        <f t="shared" si="25"/>
        <v>0</v>
      </c>
      <c r="E25" s="164">
        <f t="shared" si="26"/>
        <v>0</v>
      </c>
      <c r="F25" s="164">
        <f t="shared" si="27"/>
        <v>0</v>
      </c>
      <c r="G25" s="164">
        <f t="shared" si="28"/>
        <v>0</v>
      </c>
      <c r="H25" s="164" t="str">
        <f t="shared" si="29"/>
        <v>——</v>
      </c>
      <c r="I25" s="164">
        <f t="shared" si="30"/>
        <v>0</v>
      </c>
      <c r="J25" s="164">
        <f t="shared" si="0"/>
        <v>0</v>
      </c>
      <c r="K25" s="164">
        <f t="shared" si="31"/>
        <v>0</v>
      </c>
      <c r="L25" s="164">
        <f t="shared" si="31"/>
        <v>0</v>
      </c>
      <c r="M25" s="164">
        <f t="shared" si="31"/>
        <v>0</v>
      </c>
      <c r="N25" s="164">
        <f t="shared" si="31"/>
        <v>0</v>
      </c>
      <c r="O25" s="183">
        <f t="shared" si="32"/>
        <v>0</v>
      </c>
      <c r="P25" s="185"/>
      <c r="Q25" s="184"/>
      <c r="R25" s="183" t="s">
        <v>180</v>
      </c>
      <c r="S25" s="184"/>
      <c r="T25" s="183">
        <f t="shared" si="33"/>
        <v>0</v>
      </c>
      <c r="U25" s="185"/>
      <c r="V25" s="184"/>
      <c r="W25" s="183" t="s">
        <v>180</v>
      </c>
      <c r="X25" s="184"/>
      <c r="Y25" s="183">
        <f t="shared" si="34"/>
        <v>0</v>
      </c>
      <c r="Z25" s="185"/>
      <c r="AA25" s="184"/>
      <c r="AB25" s="183" t="s">
        <v>180</v>
      </c>
      <c r="AC25" s="184"/>
      <c r="AD25" s="183">
        <f t="shared" si="35"/>
        <v>0</v>
      </c>
      <c r="AE25" s="185"/>
      <c r="AF25" s="184"/>
      <c r="AG25" s="183" t="s">
        <v>180</v>
      </c>
      <c r="AH25" s="184"/>
      <c r="AI25" s="183">
        <f t="shared" si="36"/>
        <v>0</v>
      </c>
      <c r="AJ25" s="185"/>
      <c r="AK25" s="184"/>
      <c r="AL25" s="183" t="s">
        <v>180</v>
      </c>
      <c r="AM25" s="184"/>
      <c r="AN25" s="183">
        <f t="shared" si="37"/>
        <v>0</v>
      </c>
      <c r="AO25" s="185"/>
      <c r="AP25" s="184"/>
      <c r="AQ25" s="183" t="s">
        <v>180</v>
      </c>
      <c r="AR25" s="184"/>
      <c r="AS25" s="183">
        <f t="shared" si="38"/>
        <v>0</v>
      </c>
      <c r="AT25" s="185"/>
      <c r="AU25" s="184"/>
      <c r="AV25" s="183" t="s">
        <v>180</v>
      </c>
      <c r="AW25" s="184"/>
      <c r="AX25" s="183">
        <f t="shared" si="39"/>
        <v>0</v>
      </c>
      <c r="AY25" s="185"/>
      <c r="AZ25" s="184"/>
      <c r="BA25" s="183" t="s">
        <v>180</v>
      </c>
      <c r="BB25" s="184"/>
      <c r="BC25" s="183">
        <f t="shared" si="40"/>
        <v>0</v>
      </c>
      <c r="BD25" s="185"/>
      <c r="BE25" s="184"/>
      <c r="BF25" s="183" t="s">
        <v>180</v>
      </c>
      <c r="BG25" s="184"/>
      <c r="BH25" s="183">
        <f t="shared" si="41"/>
        <v>0</v>
      </c>
      <c r="BI25" s="185"/>
      <c r="BJ25" s="184"/>
      <c r="BK25" s="183" t="s">
        <v>180</v>
      </c>
      <c r="BL25" s="184"/>
      <c r="BM25" s="183">
        <f t="shared" si="42"/>
        <v>0</v>
      </c>
      <c r="BN25" s="185"/>
      <c r="BO25" s="184"/>
      <c r="BP25" s="183" t="s">
        <v>180</v>
      </c>
      <c r="BQ25" s="184"/>
      <c r="BR25" s="183">
        <f t="shared" si="43"/>
        <v>0</v>
      </c>
      <c r="BS25" s="185"/>
      <c r="BT25" s="184"/>
      <c r="BU25" s="183" t="s">
        <v>180</v>
      </c>
      <c r="BV25" s="184"/>
    </row>
    <row r="26" spans="1:74" s="144" customFormat="1" ht="15.95" customHeight="1" outlineLevel="1">
      <c r="A26" s="160" t="s">
        <v>643</v>
      </c>
      <c r="B26" s="165" t="s">
        <v>644</v>
      </c>
      <c r="C26" s="162"/>
      <c r="D26" s="163">
        <f t="shared" si="25"/>
        <v>0</v>
      </c>
      <c r="E26" s="164">
        <f t="shared" si="26"/>
        <v>0</v>
      </c>
      <c r="F26" s="164">
        <f t="shared" si="27"/>
        <v>0</v>
      </c>
      <c r="G26" s="164">
        <f t="shared" si="28"/>
        <v>0</v>
      </c>
      <c r="H26" s="164" t="str">
        <f t="shared" si="29"/>
        <v>——</v>
      </c>
      <c r="I26" s="164">
        <f t="shared" si="30"/>
        <v>0</v>
      </c>
      <c r="J26" s="164">
        <f t="shared" si="0"/>
        <v>0</v>
      </c>
      <c r="K26" s="164">
        <f t="shared" si="31"/>
        <v>0</v>
      </c>
      <c r="L26" s="164">
        <f t="shared" si="31"/>
        <v>0</v>
      </c>
      <c r="M26" s="164">
        <f t="shared" si="31"/>
        <v>0</v>
      </c>
      <c r="N26" s="164">
        <f t="shared" si="31"/>
        <v>0</v>
      </c>
      <c r="O26" s="183">
        <f t="shared" si="32"/>
        <v>0</v>
      </c>
      <c r="P26" s="185"/>
      <c r="Q26" s="184"/>
      <c r="R26" s="183" t="s">
        <v>180</v>
      </c>
      <c r="S26" s="184"/>
      <c r="T26" s="183">
        <f t="shared" si="33"/>
        <v>0</v>
      </c>
      <c r="U26" s="185"/>
      <c r="V26" s="184"/>
      <c r="W26" s="183" t="s">
        <v>180</v>
      </c>
      <c r="X26" s="184"/>
      <c r="Y26" s="183">
        <f t="shared" si="34"/>
        <v>0</v>
      </c>
      <c r="Z26" s="185"/>
      <c r="AA26" s="184"/>
      <c r="AB26" s="183" t="s">
        <v>180</v>
      </c>
      <c r="AC26" s="184"/>
      <c r="AD26" s="183">
        <f t="shared" si="35"/>
        <v>0</v>
      </c>
      <c r="AE26" s="185"/>
      <c r="AF26" s="184"/>
      <c r="AG26" s="183" t="s">
        <v>180</v>
      </c>
      <c r="AH26" s="184"/>
      <c r="AI26" s="183">
        <f t="shared" si="36"/>
        <v>0</v>
      </c>
      <c r="AJ26" s="185"/>
      <c r="AK26" s="184"/>
      <c r="AL26" s="183" t="s">
        <v>180</v>
      </c>
      <c r="AM26" s="184"/>
      <c r="AN26" s="183">
        <f t="shared" si="37"/>
        <v>0</v>
      </c>
      <c r="AO26" s="185"/>
      <c r="AP26" s="184"/>
      <c r="AQ26" s="183" t="s">
        <v>180</v>
      </c>
      <c r="AR26" s="184"/>
      <c r="AS26" s="183">
        <f t="shared" si="38"/>
        <v>0</v>
      </c>
      <c r="AT26" s="185"/>
      <c r="AU26" s="184"/>
      <c r="AV26" s="183" t="s">
        <v>180</v>
      </c>
      <c r="AW26" s="184"/>
      <c r="AX26" s="183">
        <f t="shared" si="39"/>
        <v>0</v>
      </c>
      <c r="AY26" s="185"/>
      <c r="AZ26" s="184"/>
      <c r="BA26" s="183" t="s">
        <v>180</v>
      </c>
      <c r="BB26" s="184"/>
      <c r="BC26" s="183">
        <f t="shared" si="40"/>
        <v>0</v>
      </c>
      <c r="BD26" s="185"/>
      <c r="BE26" s="184"/>
      <c r="BF26" s="183" t="s">
        <v>180</v>
      </c>
      <c r="BG26" s="184"/>
      <c r="BH26" s="183">
        <f t="shared" si="41"/>
        <v>0</v>
      </c>
      <c r="BI26" s="185"/>
      <c r="BJ26" s="184"/>
      <c r="BK26" s="183" t="s">
        <v>180</v>
      </c>
      <c r="BL26" s="184"/>
      <c r="BM26" s="183">
        <f t="shared" si="42"/>
        <v>0</v>
      </c>
      <c r="BN26" s="185"/>
      <c r="BO26" s="184"/>
      <c r="BP26" s="183" t="s">
        <v>180</v>
      </c>
      <c r="BQ26" s="184"/>
      <c r="BR26" s="183">
        <f t="shared" si="43"/>
        <v>0</v>
      </c>
      <c r="BS26" s="185"/>
      <c r="BT26" s="184"/>
      <c r="BU26" s="183" t="s">
        <v>180</v>
      </c>
      <c r="BV26" s="184"/>
    </row>
    <row r="27" spans="1:74" s="144" customFormat="1" ht="15.95" customHeight="1" outlineLevel="1">
      <c r="A27" s="160" t="s">
        <v>645</v>
      </c>
      <c r="B27" s="165" t="s">
        <v>646</v>
      </c>
      <c r="C27" s="162"/>
      <c r="D27" s="163">
        <f t="shared" si="25"/>
        <v>0</v>
      </c>
      <c r="E27" s="164">
        <f t="shared" si="26"/>
        <v>0</v>
      </c>
      <c r="F27" s="164">
        <f t="shared" si="27"/>
        <v>0</v>
      </c>
      <c r="G27" s="164">
        <f t="shared" si="28"/>
        <v>0</v>
      </c>
      <c r="H27" s="164" t="str">
        <f t="shared" si="29"/>
        <v>——</v>
      </c>
      <c r="I27" s="164">
        <f t="shared" si="30"/>
        <v>0</v>
      </c>
      <c r="J27" s="164">
        <f t="shared" si="0"/>
        <v>0</v>
      </c>
      <c r="K27" s="164">
        <f t="shared" si="31"/>
        <v>0</v>
      </c>
      <c r="L27" s="164">
        <f t="shared" si="31"/>
        <v>0</v>
      </c>
      <c r="M27" s="164">
        <f t="shared" si="31"/>
        <v>0</v>
      </c>
      <c r="N27" s="164">
        <f t="shared" si="31"/>
        <v>0</v>
      </c>
      <c r="O27" s="183">
        <f t="shared" si="32"/>
        <v>0</v>
      </c>
      <c r="P27" s="185"/>
      <c r="Q27" s="184"/>
      <c r="R27" s="183" t="s">
        <v>180</v>
      </c>
      <c r="S27" s="184"/>
      <c r="T27" s="183">
        <f t="shared" si="33"/>
        <v>0</v>
      </c>
      <c r="U27" s="185"/>
      <c r="V27" s="184"/>
      <c r="W27" s="183" t="s">
        <v>180</v>
      </c>
      <c r="X27" s="184"/>
      <c r="Y27" s="183">
        <f t="shared" si="34"/>
        <v>0</v>
      </c>
      <c r="Z27" s="185"/>
      <c r="AA27" s="184"/>
      <c r="AB27" s="183" t="s">
        <v>180</v>
      </c>
      <c r="AC27" s="184"/>
      <c r="AD27" s="183">
        <f t="shared" si="35"/>
        <v>0</v>
      </c>
      <c r="AE27" s="185"/>
      <c r="AF27" s="184"/>
      <c r="AG27" s="183" t="s">
        <v>180</v>
      </c>
      <c r="AH27" s="184"/>
      <c r="AI27" s="183">
        <f t="shared" si="36"/>
        <v>0</v>
      </c>
      <c r="AJ27" s="185"/>
      <c r="AK27" s="184"/>
      <c r="AL27" s="183" t="s">
        <v>180</v>
      </c>
      <c r="AM27" s="184"/>
      <c r="AN27" s="183">
        <f t="shared" si="37"/>
        <v>0</v>
      </c>
      <c r="AO27" s="185"/>
      <c r="AP27" s="184"/>
      <c r="AQ27" s="183" t="s">
        <v>180</v>
      </c>
      <c r="AR27" s="184"/>
      <c r="AS27" s="183">
        <f t="shared" si="38"/>
        <v>0</v>
      </c>
      <c r="AT27" s="185"/>
      <c r="AU27" s="184"/>
      <c r="AV27" s="183" t="s">
        <v>180</v>
      </c>
      <c r="AW27" s="184"/>
      <c r="AX27" s="183">
        <f t="shared" si="39"/>
        <v>0</v>
      </c>
      <c r="AY27" s="185"/>
      <c r="AZ27" s="184"/>
      <c r="BA27" s="183" t="s">
        <v>180</v>
      </c>
      <c r="BB27" s="184"/>
      <c r="BC27" s="183">
        <f t="shared" si="40"/>
        <v>0</v>
      </c>
      <c r="BD27" s="185"/>
      <c r="BE27" s="184"/>
      <c r="BF27" s="183" t="s">
        <v>180</v>
      </c>
      <c r="BG27" s="184"/>
      <c r="BH27" s="183">
        <f t="shared" si="41"/>
        <v>0</v>
      </c>
      <c r="BI27" s="185"/>
      <c r="BJ27" s="184"/>
      <c r="BK27" s="183" t="s">
        <v>180</v>
      </c>
      <c r="BL27" s="184"/>
      <c r="BM27" s="183">
        <f t="shared" si="42"/>
        <v>0</v>
      </c>
      <c r="BN27" s="185"/>
      <c r="BO27" s="184"/>
      <c r="BP27" s="183" t="s">
        <v>180</v>
      </c>
      <c r="BQ27" s="184"/>
      <c r="BR27" s="183">
        <f t="shared" si="43"/>
        <v>0</v>
      </c>
      <c r="BS27" s="185"/>
      <c r="BT27" s="184"/>
      <c r="BU27" s="183" t="s">
        <v>180</v>
      </c>
      <c r="BV27" s="184"/>
    </row>
    <row r="28" spans="1:74" s="144" customFormat="1" ht="15.95" customHeight="1" outlineLevel="1">
      <c r="A28" s="160" t="s">
        <v>647</v>
      </c>
      <c r="B28" s="165" t="s">
        <v>648</v>
      </c>
      <c r="C28" s="162"/>
      <c r="D28" s="163">
        <f t="shared" si="25"/>
        <v>0</v>
      </c>
      <c r="E28" s="164">
        <f t="shared" si="26"/>
        <v>0</v>
      </c>
      <c r="F28" s="164">
        <f t="shared" si="27"/>
        <v>0</v>
      </c>
      <c r="G28" s="164">
        <f t="shared" si="28"/>
        <v>0</v>
      </c>
      <c r="H28" s="164" t="str">
        <f t="shared" si="29"/>
        <v>——</v>
      </c>
      <c r="I28" s="164">
        <f t="shared" si="30"/>
        <v>0</v>
      </c>
      <c r="J28" s="164">
        <f t="shared" si="0"/>
        <v>5370516.5300000003</v>
      </c>
      <c r="K28" s="164">
        <f t="shared" si="31"/>
        <v>0</v>
      </c>
      <c r="L28" s="164">
        <f t="shared" si="31"/>
        <v>5370516.5300000003</v>
      </c>
      <c r="M28" s="164">
        <f t="shared" si="31"/>
        <v>0</v>
      </c>
      <c r="N28" s="164">
        <f t="shared" si="31"/>
        <v>0</v>
      </c>
      <c r="O28" s="183">
        <f t="shared" si="32"/>
        <v>0</v>
      </c>
      <c r="P28" s="185"/>
      <c r="Q28" s="184"/>
      <c r="R28" s="183" t="s">
        <v>180</v>
      </c>
      <c r="S28" s="184"/>
      <c r="T28" s="183">
        <f t="shared" si="33"/>
        <v>0</v>
      </c>
      <c r="U28" s="185"/>
      <c r="V28" s="184"/>
      <c r="W28" s="183" t="s">
        <v>180</v>
      </c>
      <c r="X28" s="184"/>
      <c r="Y28" s="183">
        <f t="shared" si="34"/>
        <v>0</v>
      </c>
      <c r="Z28" s="185"/>
      <c r="AA28" s="184"/>
      <c r="AB28" s="183" t="s">
        <v>180</v>
      </c>
      <c r="AC28" s="184"/>
      <c r="AD28" s="183">
        <f t="shared" si="35"/>
        <v>0</v>
      </c>
      <c r="AE28" s="185"/>
      <c r="AF28" s="184"/>
      <c r="AG28" s="183" t="s">
        <v>180</v>
      </c>
      <c r="AH28" s="184"/>
      <c r="AI28" s="183">
        <f t="shared" si="36"/>
        <v>0</v>
      </c>
      <c r="AJ28" s="185"/>
      <c r="AK28" s="184"/>
      <c r="AL28" s="183" t="s">
        <v>180</v>
      </c>
      <c r="AM28" s="184"/>
      <c r="AN28" s="183">
        <f t="shared" si="37"/>
        <v>3773584.91</v>
      </c>
      <c r="AO28" s="185"/>
      <c r="AP28" s="184">
        <v>3773584.91</v>
      </c>
      <c r="AQ28" s="183" t="s">
        <v>180</v>
      </c>
      <c r="AR28" s="184"/>
      <c r="AS28" s="183">
        <f t="shared" si="38"/>
        <v>0</v>
      </c>
      <c r="AT28" s="185"/>
      <c r="AU28" s="184"/>
      <c r="AV28" s="183" t="s">
        <v>180</v>
      </c>
      <c r="AW28" s="184"/>
      <c r="AX28" s="183">
        <f t="shared" si="39"/>
        <v>0</v>
      </c>
      <c r="AY28" s="185"/>
      <c r="AZ28" s="184"/>
      <c r="BA28" s="183" t="s">
        <v>180</v>
      </c>
      <c r="BB28" s="184"/>
      <c r="BC28" s="183">
        <f t="shared" si="40"/>
        <v>1556603.7599999998</v>
      </c>
      <c r="BD28" s="185"/>
      <c r="BE28" s="184">
        <v>1556603.7599999998</v>
      </c>
      <c r="BF28" s="183" t="s">
        <v>180</v>
      </c>
      <c r="BG28" s="184"/>
      <c r="BH28" s="183">
        <f t="shared" si="41"/>
        <v>40327.86</v>
      </c>
      <c r="BI28" s="185"/>
      <c r="BJ28" s="184">
        <v>40327.86</v>
      </c>
      <c r="BK28" s="183" t="s">
        <v>180</v>
      </c>
      <c r="BL28" s="184"/>
      <c r="BM28" s="183">
        <f t="shared" si="42"/>
        <v>0</v>
      </c>
      <c r="BN28" s="185"/>
      <c r="BO28" s="184"/>
      <c r="BP28" s="183" t="s">
        <v>180</v>
      </c>
      <c r="BQ28" s="184"/>
      <c r="BR28" s="183">
        <f t="shared" si="43"/>
        <v>0</v>
      </c>
      <c r="BS28" s="185"/>
      <c r="BT28" s="184"/>
      <c r="BU28" s="183" t="s">
        <v>180</v>
      </c>
      <c r="BV28" s="184"/>
    </row>
    <row r="29" spans="1:74" s="144" customFormat="1" ht="15.95" customHeight="1" outlineLevel="1">
      <c r="A29" s="160" t="s">
        <v>649</v>
      </c>
      <c r="B29" s="165" t="s">
        <v>650</v>
      </c>
      <c r="C29" s="162"/>
      <c r="D29" s="163">
        <f t="shared" si="25"/>
        <v>0</v>
      </c>
      <c r="E29" s="164">
        <f t="shared" si="26"/>
        <v>0</v>
      </c>
      <c r="F29" s="164">
        <f t="shared" si="27"/>
        <v>0</v>
      </c>
      <c r="G29" s="164">
        <f t="shared" si="28"/>
        <v>0</v>
      </c>
      <c r="H29" s="164" t="str">
        <f t="shared" si="29"/>
        <v>——</v>
      </c>
      <c r="I29" s="164">
        <f t="shared" si="30"/>
        <v>0</v>
      </c>
      <c r="J29" s="164">
        <f t="shared" si="0"/>
        <v>0</v>
      </c>
      <c r="K29" s="164">
        <f t="shared" si="31"/>
        <v>0</v>
      </c>
      <c r="L29" s="164">
        <f t="shared" si="31"/>
        <v>0</v>
      </c>
      <c r="M29" s="164">
        <f t="shared" si="31"/>
        <v>0</v>
      </c>
      <c r="N29" s="164">
        <f t="shared" si="31"/>
        <v>0</v>
      </c>
      <c r="O29" s="183">
        <f t="shared" si="32"/>
        <v>0</v>
      </c>
      <c r="P29" s="185"/>
      <c r="Q29" s="184"/>
      <c r="R29" s="183" t="s">
        <v>180</v>
      </c>
      <c r="S29" s="184"/>
      <c r="T29" s="183">
        <f t="shared" si="33"/>
        <v>0</v>
      </c>
      <c r="U29" s="185"/>
      <c r="V29" s="184"/>
      <c r="W29" s="183" t="s">
        <v>180</v>
      </c>
      <c r="X29" s="184"/>
      <c r="Y29" s="183">
        <f t="shared" si="34"/>
        <v>0</v>
      </c>
      <c r="Z29" s="185"/>
      <c r="AA29" s="184"/>
      <c r="AB29" s="183" t="s">
        <v>180</v>
      </c>
      <c r="AC29" s="184"/>
      <c r="AD29" s="183">
        <f t="shared" si="35"/>
        <v>0</v>
      </c>
      <c r="AE29" s="185"/>
      <c r="AF29" s="184"/>
      <c r="AG29" s="183" t="s">
        <v>180</v>
      </c>
      <c r="AH29" s="184"/>
      <c r="AI29" s="183">
        <f t="shared" si="36"/>
        <v>0</v>
      </c>
      <c r="AJ29" s="185"/>
      <c r="AK29" s="184"/>
      <c r="AL29" s="183" t="s">
        <v>180</v>
      </c>
      <c r="AM29" s="184"/>
      <c r="AN29" s="183">
        <f t="shared" si="37"/>
        <v>0</v>
      </c>
      <c r="AO29" s="185"/>
      <c r="AP29" s="184"/>
      <c r="AQ29" s="183" t="s">
        <v>180</v>
      </c>
      <c r="AR29" s="184"/>
      <c r="AS29" s="183">
        <f t="shared" si="38"/>
        <v>0</v>
      </c>
      <c r="AT29" s="185"/>
      <c r="AU29" s="184"/>
      <c r="AV29" s="183" t="s">
        <v>180</v>
      </c>
      <c r="AW29" s="184"/>
      <c r="AX29" s="183">
        <f t="shared" si="39"/>
        <v>0</v>
      </c>
      <c r="AY29" s="185"/>
      <c r="AZ29" s="184"/>
      <c r="BA29" s="183" t="s">
        <v>180</v>
      </c>
      <c r="BB29" s="184"/>
      <c r="BC29" s="183">
        <f t="shared" si="40"/>
        <v>0</v>
      </c>
      <c r="BD29" s="185"/>
      <c r="BE29" s="184"/>
      <c r="BF29" s="183" t="s">
        <v>180</v>
      </c>
      <c r="BG29" s="184"/>
      <c r="BH29" s="183">
        <f t="shared" si="41"/>
        <v>0</v>
      </c>
      <c r="BI29" s="185"/>
      <c r="BJ29" s="184"/>
      <c r="BK29" s="183" t="s">
        <v>180</v>
      </c>
      <c r="BL29" s="184"/>
      <c r="BM29" s="183">
        <f t="shared" si="42"/>
        <v>0</v>
      </c>
      <c r="BN29" s="185"/>
      <c r="BO29" s="184"/>
      <c r="BP29" s="183" t="s">
        <v>180</v>
      </c>
      <c r="BQ29" s="184"/>
      <c r="BR29" s="183">
        <f t="shared" si="43"/>
        <v>0</v>
      </c>
      <c r="BS29" s="185"/>
      <c r="BT29" s="184"/>
      <c r="BU29" s="183" t="s">
        <v>180</v>
      </c>
      <c r="BV29" s="184"/>
    </row>
    <row r="30" spans="1:74" s="144" customFormat="1" ht="15.95" customHeight="1" outlineLevel="1">
      <c r="A30" s="160" t="s">
        <v>651</v>
      </c>
      <c r="B30" s="165" t="s">
        <v>652</v>
      </c>
      <c r="C30" s="162"/>
      <c r="D30" s="163">
        <f t="shared" si="25"/>
        <v>0</v>
      </c>
      <c r="E30" s="164">
        <f t="shared" si="26"/>
        <v>0</v>
      </c>
      <c r="F30" s="164">
        <f t="shared" si="27"/>
        <v>0</v>
      </c>
      <c r="G30" s="164">
        <f t="shared" si="28"/>
        <v>0</v>
      </c>
      <c r="H30" s="164" t="str">
        <f t="shared" si="29"/>
        <v>——</v>
      </c>
      <c r="I30" s="164">
        <f t="shared" si="30"/>
        <v>0</v>
      </c>
      <c r="J30" s="164">
        <f t="shared" si="0"/>
        <v>0</v>
      </c>
      <c r="K30" s="164">
        <f t="shared" si="31"/>
        <v>0</v>
      </c>
      <c r="L30" s="164">
        <f t="shared" si="31"/>
        <v>0</v>
      </c>
      <c r="M30" s="164">
        <f t="shared" si="31"/>
        <v>0</v>
      </c>
      <c r="N30" s="164">
        <f t="shared" si="31"/>
        <v>0</v>
      </c>
      <c r="O30" s="183">
        <f t="shared" si="32"/>
        <v>0</v>
      </c>
      <c r="P30" s="185"/>
      <c r="Q30" s="184"/>
      <c r="R30" s="183" t="s">
        <v>180</v>
      </c>
      <c r="S30" s="184"/>
      <c r="T30" s="183">
        <f t="shared" si="33"/>
        <v>0</v>
      </c>
      <c r="U30" s="185"/>
      <c r="V30" s="184"/>
      <c r="W30" s="183" t="s">
        <v>180</v>
      </c>
      <c r="X30" s="184"/>
      <c r="Y30" s="183">
        <f t="shared" si="34"/>
        <v>0</v>
      </c>
      <c r="Z30" s="185"/>
      <c r="AA30" s="184"/>
      <c r="AB30" s="183" t="s">
        <v>180</v>
      </c>
      <c r="AC30" s="184"/>
      <c r="AD30" s="183">
        <f t="shared" si="35"/>
        <v>0</v>
      </c>
      <c r="AE30" s="185"/>
      <c r="AF30" s="184"/>
      <c r="AG30" s="183" t="s">
        <v>180</v>
      </c>
      <c r="AH30" s="184"/>
      <c r="AI30" s="183">
        <f t="shared" si="36"/>
        <v>0</v>
      </c>
      <c r="AJ30" s="185"/>
      <c r="AK30" s="184"/>
      <c r="AL30" s="183" t="s">
        <v>180</v>
      </c>
      <c r="AM30" s="184"/>
      <c r="AN30" s="183">
        <f t="shared" si="37"/>
        <v>0</v>
      </c>
      <c r="AO30" s="185"/>
      <c r="AP30" s="184"/>
      <c r="AQ30" s="183" t="s">
        <v>180</v>
      </c>
      <c r="AR30" s="184"/>
      <c r="AS30" s="183">
        <f t="shared" si="38"/>
        <v>0</v>
      </c>
      <c r="AT30" s="185"/>
      <c r="AU30" s="184"/>
      <c r="AV30" s="183" t="s">
        <v>180</v>
      </c>
      <c r="AW30" s="184"/>
      <c r="AX30" s="183">
        <f t="shared" si="39"/>
        <v>0</v>
      </c>
      <c r="AY30" s="185"/>
      <c r="AZ30" s="184"/>
      <c r="BA30" s="183" t="s">
        <v>180</v>
      </c>
      <c r="BB30" s="184"/>
      <c r="BC30" s="183">
        <f t="shared" si="40"/>
        <v>0</v>
      </c>
      <c r="BD30" s="185"/>
      <c r="BE30" s="184"/>
      <c r="BF30" s="183" t="s">
        <v>180</v>
      </c>
      <c r="BG30" s="184"/>
      <c r="BH30" s="183">
        <f t="shared" si="41"/>
        <v>0</v>
      </c>
      <c r="BI30" s="185"/>
      <c r="BJ30" s="184"/>
      <c r="BK30" s="183" t="s">
        <v>180</v>
      </c>
      <c r="BL30" s="184"/>
      <c r="BM30" s="183">
        <f t="shared" si="42"/>
        <v>0</v>
      </c>
      <c r="BN30" s="185"/>
      <c r="BO30" s="184"/>
      <c r="BP30" s="183" t="s">
        <v>180</v>
      </c>
      <c r="BQ30" s="184"/>
      <c r="BR30" s="183">
        <f t="shared" si="43"/>
        <v>0</v>
      </c>
      <c r="BS30" s="185"/>
      <c r="BT30" s="184"/>
      <c r="BU30" s="183" t="s">
        <v>180</v>
      </c>
      <c r="BV30" s="184"/>
    </row>
    <row r="31" spans="1:74" s="144" customFormat="1" ht="15.95" customHeight="1" outlineLevel="1">
      <c r="A31" s="160" t="s">
        <v>653</v>
      </c>
      <c r="B31" s="165" t="s">
        <v>654</v>
      </c>
      <c r="C31" s="162"/>
      <c r="D31" s="163">
        <f t="shared" si="25"/>
        <v>0</v>
      </c>
      <c r="E31" s="164">
        <f t="shared" si="26"/>
        <v>0</v>
      </c>
      <c r="F31" s="164">
        <f t="shared" si="27"/>
        <v>0</v>
      </c>
      <c r="G31" s="164">
        <f t="shared" si="28"/>
        <v>0</v>
      </c>
      <c r="H31" s="164" t="str">
        <f t="shared" si="29"/>
        <v>——</v>
      </c>
      <c r="I31" s="164">
        <f t="shared" si="30"/>
        <v>0</v>
      </c>
      <c r="J31" s="164">
        <f t="shared" si="0"/>
        <v>0</v>
      </c>
      <c r="K31" s="164">
        <f t="shared" si="31"/>
        <v>0</v>
      </c>
      <c r="L31" s="164">
        <f t="shared" si="31"/>
        <v>0</v>
      </c>
      <c r="M31" s="164">
        <f t="shared" si="31"/>
        <v>0</v>
      </c>
      <c r="N31" s="164">
        <f t="shared" si="31"/>
        <v>0</v>
      </c>
      <c r="O31" s="183">
        <f t="shared" si="32"/>
        <v>0</v>
      </c>
      <c r="P31" s="185"/>
      <c r="Q31" s="184"/>
      <c r="R31" s="183" t="s">
        <v>180</v>
      </c>
      <c r="S31" s="184"/>
      <c r="T31" s="183">
        <f t="shared" si="33"/>
        <v>0</v>
      </c>
      <c r="U31" s="185"/>
      <c r="V31" s="184"/>
      <c r="W31" s="183" t="s">
        <v>180</v>
      </c>
      <c r="X31" s="184"/>
      <c r="Y31" s="183">
        <f t="shared" si="34"/>
        <v>0</v>
      </c>
      <c r="Z31" s="185"/>
      <c r="AA31" s="184"/>
      <c r="AB31" s="183" t="s">
        <v>180</v>
      </c>
      <c r="AC31" s="184"/>
      <c r="AD31" s="183">
        <f t="shared" si="35"/>
        <v>0</v>
      </c>
      <c r="AE31" s="185"/>
      <c r="AF31" s="184"/>
      <c r="AG31" s="183" t="s">
        <v>180</v>
      </c>
      <c r="AH31" s="184"/>
      <c r="AI31" s="183">
        <f t="shared" si="36"/>
        <v>0</v>
      </c>
      <c r="AJ31" s="185"/>
      <c r="AK31" s="184"/>
      <c r="AL31" s="183" t="s">
        <v>180</v>
      </c>
      <c r="AM31" s="184"/>
      <c r="AN31" s="183">
        <f t="shared" si="37"/>
        <v>0</v>
      </c>
      <c r="AO31" s="185"/>
      <c r="AP31" s="184"/>
      <c r="AQ31" s="183" t="s">
        <v>180</v>
      </c>
      <c r="AR31" s="184"/>
      <c r="AS31" s="183">
        <f t="shared" si="38"/>
        <v>0</v>
      </c>
      <c r="AT31" s="185"/>
      <c r="AU31" s="184"/>
      <c r="AV31" s="183" t="s">
        <v>180</v>
      </c>
      <c r="AW31" s="184"/>
      <c r="AX31" s="183">
        <f t="shared" si="39"/>
        <v>0</v>
      </c>
      <c r="AY31" s="185"/>
      <c r="AZ31" s="184"/>
      <c r="BA31" s="183" t="s">
        <v>180</v>
      </c>
      <c r="BB31" s="184"/>
      <c r="BC31" s="183">
        <f t="shared" si="40"/>
        <v>0</v>
      </c>
      <c r="BD31" s="185"/>
      <c r="BE31" s="184"/>
      <c r="BF31" s="183" t="s">
        <v>180</v>
      </c>
      <c r="BG31" s="184"/>
      <c r="BH31" s="183">
        <f t="shared" si="41"/>
        <v>0</v>
      </c>
      <c r="BI31" s="185"/>
      <c r="BJ31" s="184"/>
      <c r="BK31" s="183" t="s">
        <v>180</v>
      </c>
      <c r="BL31" s="184"/>
      <c r="BM31" s="183">
        <f t="shared" si="42"/>
        <v>0</v>
      </c>
      <c r="BN31" s="185"/>
      <c r="BO31" s="184"/>
      <c r="BP31" s="183" t="s">
        <v>180</v>
      </c>
      <c r="BQ31" s="184"/>
      <c r="BR31" s="183">
        <f t="shared" si="43"/>
        <v>0</v>
      </c>
      <c r="BS31" s="185"/>
      <c r="BT31" s="184"/>
      <c r="BU31" s="183" t="s">
        <v>180</v>
      </c>
      <c r="BV31" s="184"/>
    </row>
    <row r="32" spans="1:74" s="144" customFormat="1" ht="15.95" customHeight="1" outlineLevel="1">
      <c r="A32" s="160" t="s">
        <v>655</v>
      </c>
      <c r="B32" s="165" t="s">
        <v>656</v>
      </c>
      <c r="C32" s="162"/>
      <c r="D32" s="163">
        <f t="shared" si="25"/>
        <v>0</v>
      </c>
      <c r="E32" s="164">
        <f t="shared" si="26"/>
        <v>0</v>
      </c>
      <c r="F32" s="164">
        <f t="shared" si="27"/>
        <v>0</v>
      </c>
      <c r="G32" s="164">
        <f t="shared" si="28"/>
        <v>0</v>
      </c>
      <c r="H32" s="164" t="str">
        <f t="shared" si="29"/>
        <v>——</v>
      </c>
      <c r="I32" s="164">
        <f t="shared" si="30"/>
        <v>0</v>
      </c>
      <c r="J32" s="164">
        <f t="shared" si="0"/>
        <v>0</v>
      </c>
      <c r="K32" s="164">
        <f t="shared" si="31"/>
        <v>0</v>
      </c>
      <c r="L32" s="164">
        <f t="shared" si="31"/>
        <v>0</v>
      </c>
      <c r="M32" s="164">
        <f t="shared" si="31"/>
        <v>0</v>
      </c>
      <c r="N32" s="164">
        <f t="shared" si="31"/>
        <v>0</v>
      </c>
      <c r="O32" s="183">
        <f t="shared" si="32"/>
        <v>0</v>
      </c>
      <c r="P32" s="185"/>
      <c r="Q32" s="184"/>
      <c r="R32" s="183" t="s">
        <v>180</v>
      </c>
      <c r="S32" s="184"/>
      <c r="T32" s="183">
        <f t="shared" si="33"/>
        <v>0</v>
      </c>
      <c r="U32" s="185"/>
      <c r="V32" s="184"/>
      <c r="W32" s="183" t="s">
        <v>180</v>
      </c>
      <c r="X32" s="184"/>
      <c r="Y32" s="183">
        <f t="shared" si="34"/>
        <v>0</v>
      </c>
      <c r="Z32" s="185"/>
      <c r="AA32" s="184"/>
      <c r="AB32" s="183" t="s">
        <v>180</v>
      </c>
      <c r="AC32" s="184"/>
      <c r="AD32" s="183">
        <f t="shared" si="35"/>
        <v>0</v>
      </c>
      <c r="AE32" s="185"/>
      <c r="AF32" s="184"/>
      <c r="AG32" s="183" t="s">
        <v>180</v>
      </c>
      <c r="AH32" s="184"/>
      <c r="AI32" s="183">
        <f t="shared" si="36"/>
        <v>0</v>
      </c>
      <c r="AJ32" s="185"/>
      <c r="AK32" s="184"/>
      <c r="AL32" s="183" t="s">
        <v>180</v>
      </c>
      <c r="AM32" s="184"/>
      <c r="AN32" s="183">
        <f t="shared" si="37"/>
        <v>0</v>
      </c>
      <c r="AO32" s="185"/>
      <c r="AP32" s="184"/>
      <c r="AQ32" s="183" t="s">
        <v>180</v>
      </c>
      <c r="AR32" s="184"/>
      <c r="AS32" s="183">
        <f t="shared" si="38"/>
        <v>0</v>
      </c>
      <c r="AT32" s="185"/>
      <c r="AU32" s="184"/>
      <c r="AV32" s="183" t="s">
        <v>180</v>
      </c>
      <c r="AW32" s="184"/>
      <c r="AX32" s="183">
        <f t="shared" si="39"/>
        <v>0</v>
      </c>
      <c r="AY32" s="185"/>
      <c r="AZ32" s="184"/>
      <c r="BA32" s="183" t="s">
        <v>180</v>
      </c>
      <c r="BB32" s="184"/>
      <c r="BC32" s="183">
        <f t="shared" si="40"/>
        <v>0</v>
      </c>
      <c r="BD32" s="185"/>
      <c r="BE32" s="184"/>
      <c r="BF32" s="183" t="s">
        <v>180</v>
      </c>
      <c r="BG32" s="184"/>
      <c r="BH32" s="183">
        <f t="shared" si="41"/>
        <v>0</v>
      </c>
      <c r="BI32" s="185"/>
      <c r="BJ32" s="184"/>
      <c r="BK32" s="183" t="s">
        <v>180</v>
      </c>
      <c r="BL32" s="184"/>
      <c r="BM32" s="183">
        <f t="shared" si="42"/>
        <v>0</v>
      </c>
      <c r="BN32" s="185"/>
      <c r="BO32" s="184"/>
      <c r="BP32" s="183" t="s">
        <v>180</v>
      </c>
      <c r="BQ32" s="184"/>
      <c r="BR32" s="183">
        <f t="shared" si="43"/>
        <v>0</v>
      </c>
      <c r="BS32" s="185"/>
      <c r="BT32" s="184"/>
      <c r="BU32" s="183" t="s">
        <v>180</v>
      </c>
      <c r="BV32" s="184"/>
    </row>
    <row r="33" spans="1:74" s="144" customFormat="1" ht="15.95" customHeight="1" outlineLevel="1">
      <c r="A33" s="160" t="s">
        <v>657</v>
      </c>
      <c r="B33" s="165" t="s">
        <v>658</v>
      </c>
      <c r="C33" s="162"/>
      <c r="D33" s="163">
        <f t="shared" si="25"/>
        <v>0</v>
      </c>
      <c r="E33" s="164">
        <f t="shared" si="26"/>
        <v>0</v>
      </c>
      <c r="F33" s="164">
        <f t="shared" si="27"/>
        <v>0</v>
      </c>
      <c r="G33" s="164">
        <f t="shared" si="28"/>
        <v>0</v>
      </c>
      <c r="H33" s="164" t="str">
        <f t="shared" si="29"/>
        <v>——</v>
      </c>
      <c r="I33" s="164">
        <f t="shared" si="30"/>
        <v>0</v>
      </c>
      <c r="J33" s="164">
        <f t="shared" si="0"/>
        <v>0</v>
      </c>
      <c r="K33" s="164">
        <f t="shared" si="31"/>
        <v>0</v>
      </c>
      <c r="L33" s="164">
        <f t="shared" si="31"/>
        <v>0</v>
      </c>
      <c r="M33" s="164">
        <f t="shared" si="31"/>
        <v>0</v>
      </c>
      <c r="N33" s="164">
        <f t="shared" si="31"/>
        <v>0</v>
      </c>
      <c r="O33" s="183">
        <f t="shared" si="32"/>
        <v>0</v>
      </c>
      <c r="P33" s="185"/>
      <c r="Q33" s="184"/>
      <c r="R33" s="183" t="s">
        <v>180</v>
      </c>
      <c r="S33" s="184"/>
      <c r="T33" s="183">
        <f t="shared" si="33"/>
        <v>0</v>
      </c>
      <c r="U33" s="185"/>
      <c r="V33" s="184"/>
      <c r="W33" s="183" t="s">
        <v>180</v>
      </c>
      <c r="X33" s="184"/>
      <c r="Y33" s="183">
        <f t="shared" si="34"/>
        <v>0</v>
      </c>
      <c r="Z33" s="185"/>
      <c r="AA33" s="184"/>
      <c r="AB33" s="183" t="s">
        <v>180</v>
      </c>
      <c r="AC33" s="184"/>
      <c r="AD33" s="183">
        <f t="shared" si="35"/>
        <v>0</v>
      </c>
      <c r="AE33" s="185"/>
      <c r="AF33" s="184"/>
      <c r="AG33" s="183" t="s">
        <v>180</v>
      </c>
      <c r="AH33" s="184"/>
      <c r="AI33" s="183">
        <f t="shared" si="36"/>
        <v>0</v>
      </c>
      <c r="AJ33" s="185"/>
      <c r="AK33" s="184"/>
      <c r="AL33" s="183" t="s">
        <v>180</v>
      </c>
      <c r="AM33" s="184"/>
      <c r="AN33" s="183">
        <f t="shared" si="37"/>
        <v>0</v>
      </c>
      <c r="AO33" s="185"/>
      <c r="AP33" s="184"/>
      <c r="AQ33" s="183" t="s">
        <v>180</v>
      </c>
      <c r="AR33" s="184"/>
      <c r="AS33" s="183">
        <f t="shared" si="38"/>
        <v>0</v>
      </c>
      <c r="AT33" s="185"/>
      <c r="AU33" s="184"/>
      <c r="AV33" s="183" t="s">
        <v>180</v>
      </c>
      <c r="AW33" s="184"/>
      <c r="AX33" s="183">
        <f t="shared" si="39"/>
        <v>0</v>
      </c>
      <c r="AY33" s="185"/>
      <c r="AZ33" s="184"/>
      <c r="BA33" s="183" t="s">
        <v>180</v>
      </c>
      <c r="BB33" s="184"/>
      <c r="BC33" s="183">
        <f t="shared" si="40"/>
        <v>0</v>
      </c>
      <c r="BD33" s="185"/>
      <c r="BE33" s="184"/>
      <c r="BF33" s="183" t="s">
        <v>180</v>
      </c>
      <c r="BG33" s="184"/>
      <c r="BH33" s="183">
        <f t="shared" si="41"/>
        <v>0</v>
      </c>
      <c r="BI33" s="185"/>
      <c r="BJ33" s="184"/>
      <c r="BK33" s="183" t="s">
        <v>180</v>
      </c>
      <c r="BL33" s="184"/>
      <c r="BM33" s="183">
        <f t="shared" si="42"/>
        <v>0</v>
      </c>
      <c r="BN33" s="185"/>
      <c r="BO33" s="184"/>
      <c r="BP33" s="183" t="s">
        <v>180</v>
      </c>
      <c r="BQ33" s="184"/>
      <c r="BR33" s="183">
        <f t="shared" si="43"/>
        <v>0</v>
      </c>
      <c r="BS33" s="185"/>
      <c r="BT33" s="184"/>
      <c r="BU33" s="183" t="s">
        <v>180</v>
      </c>
      <c r="BV33" s="184"/>
    </row>
    <row r="34" spans="1:74" s="144" customFormat="1" ht="15.95" customHeight="1" outlineLevel="1">
      <c r="A34" s="160" t="s">
        <v>659</v>
      </c>
      <c r="B34" s="165" t="s">
        <v>660</v>
      </c>
      <c r="C34" s="162"/>
      <c r="D34" s="163">
        <f t="shared" si="25"/>
        <v>0</v>
      </c>
      <c r="E34" s="164">
        <f t="shared" si="26"/>
        <v>0</v>
      </c>
      <c r="F34" s="164">
        <f t="shared" si="27"/>
        <v>0</v>
      </c>
      <c r="G34" s="164">
        <f t="shared" si="28"/>
        <v>0</v>
      </c>
      <c r="H34" s="164" t="str">
        <f t="shared" si="29"/>
        <v>——</v>
      </c>
      <c r="I34" s="164">
        <f t="shared" si="30"/>
        <v>0</v>
      </c>
      <c r="J34" s="164">
        <f t="shared" si="0"/>
        <v>185291.55</v>
      </c>
      <c r="K34" s="164">
        <f t="shared" si="31"/>
        <v>0</v>
      </c>
      <c r="L34" s="164">
        <f t="shared" si="31"/>
        <v>147891.54999999999</v>
      </c>
      <c r="M34" s="164">
        <f t="shared" si="31"/>
        <v>0</v>
      </c>
      <c r="N34" s="164">
        <f t="shared" si="31"/>
        <v>37400</v>
      </c>
      <c r="O34" s="183">
        <f t="shared" si="32"/>
        <v>97744.61</v>
      </c>
      <c r="P34" s="185"/>
      <c r="Q34" s="184">
        <v>68810.61</v>
      </c>
      <c r="R34" s="183" t="s">
        <v>180</v>
      </c>
      <c r="S34" s="184">
        <v>28934</v>
      </c>
      <c r="T34" s="183">
        <f t="shared" si="33"/>
        <v>9070.16</v>
      </c>
      <c r="U34" s="185"/>
      <c r="V34" s="184">
        <v>9070.16</v>
      </c>
      <c r="W34" s="183" t="s">
        <v>180</v>
      </c>
      <c r="X34" s="184"/>
      <c r="Y34" s="183">
        <f t="shared" si="34"/>
        <v>18960</v>
      </c>
      <c r="Z34" s="185"/>
      <c r="AA34" s="184">
        <v>15396</v>
      </c>
      <c r="AB34" s="183" t="s">
        <v>180</v>
      </c>
      <c r="AC34" s="184">
        <v>3564</v>
      </c>
      <c r="AD34" s="183">
        <f t="shared" si="35"/>
        <v>17789.78</v>
      </c>
      <c r="AE34" s="185"/>
      <c r="AF34" s="184">
        <v>17789.78</v>
      </c>
      <c r="AG34" s="183" t="s">
        <v>180</v>
      </c>
      <c r="AH34" s="184"/>
      <c r="AI34" s="183">
        <f t="shared" si="36"/>
        <v>18055</v>
      </c>
      <c r="AJ34" s="185"/>
      <c r="AK34" s="184">
        <v>13153</v>
      </c>
      <c r="AL34" s="183" t="s">
        <v>180</v>
      </c>
      <c r="AM34" s="184">
        <v>4902</v>
      </c>
      <c r="AN34" s="183">
        <f t="shared" si="37"/>
        <v>13000</v>
      </c>
      <c r="AO34" s="185"/>
      <c r="AP34" s="184">
        <v>13000</v>
      </c>
      <c r="AQ34" s="183" t="s">
        <v>180</v>
      </c>
      <c r="AR34" s="184"/>
      <c r="AS34" s="183">
        <f t="shared" si="38"/>
        <v>0</v>
      </c>
      <c r="AT34" s="185"/>
      <c r="AU34" s="184"/>
      <c r="AV34" s="183" t="s">
        <v>180</v>
      </c>
      <c r="AW34" s="184"/>
      <c r="AX34" s="183">
        <f t="shared" si="39"/>
        <v>10154</v>
      </c>
      <c r="AY34" s="185"/>
      <c r="AZ34" s="184">
        <v>10154</v>
      </c>
      <c r="BA34" s="183" t="s">
        <v>180</v>
      </c>
      <c r="BB34" s="184"/>
      <c r="BC34" s="183">
        <f t="shared" si="40"/>
        <v>0</v>
      </c>
      <c r="BD34" s="185"/>
      <c r="BE34" s="184"/>
      <c r="BF34" s="183" t="s">
        <v>180</v>
      </c>
      <c r="BG34" s="184"/>
      <c r="BH34" s="183">
        <f t="shared" si="41"/>
        <v>518</v>
      </c>
      <c r="BI34" s="185"/>
      <c r="BJ34" s="184">
        <v>518</v>
      </c>
      <c r="BK34" s="183" t="s">
        <v>180</v>
      </c>
      <c r="BL34" s="184"/>
      <c r="BM34" s="183">
        <f t="shared" si="42"/>
        <v>0</v>
      </c>
      <c r="BN34" s="185"/>
      <c r="BO34" s="184"/>
      <c r="BP34" s="183" t="s">
        <v>180</v>
      </c>
      <c r="BQ34" s="184"/>
      <c r="BR34" s="183">
        <f t="shared" si="43"/>
        <v>0</v>
      </c>
      <c r="BS34" s="185"/>
      <c r="BT34" s="184"/>
      <c r="BU34" s="183" t="s">
        <v>180</v>
      </c>
      <c r="BV34" s="184"/>
    </row>
    <row r="35" spans="1:74" s="144" customFormat="1" ht="15.95" customHeight="1" outlineLevel="1">
      <c r="A35" s="160" t="s">
        <v>661</v>
      </c>
      <c r="B35" s="165" t="s">
        <v>662</v>
      </c>
      <c r="C35" s="162"/>
      <c r="D35" s="163">
        <f t="shared" si="25"/>
        <v>0</v>
      </c>
      <c r="E35" s="164">
        <f t="shared" si="26"/>
        <v>0</v>
      </c>
      <c r="F35" s="164">
        <f t="shared" si="27"/>
        <v>0</v>
      </c>
      <c r="G35" s="164">
        <f t="shared" si="28"/>
        <v>0</v>
      </c>
      <c r="H35" s="164" t="str">
        <f t="shared" si="29"/>
        <v>——</v>
      </c>
      <c r="I35" s="164">
        <f t="shared" si="30"/>
        <v>0</v>
      </c>
      <c r="J35" s="164">
        <f t="shared" si="0"/>
        <v>0</v>
      </c>
      <c r="K35" s="164">
        <f t="shared" si="31"/>
        <v>0</v>
      </c>
      <c r="L35" s="164">
        <f t="shared" si="31"/>
        <v>0</v>
      </c>
      <c r="M35" s="164">
        <f t="shared" si="31"/>
        <v>0</v>
      </c>
      <c r="N35" s="164">
        <f t="shared" si="31"/>
        <v>0</v>
      </c>
      <c r="O35" s="183">
        <f t="shared" si="32"/>
        <v>0</v>
      </c>
      <c r="P35" s="185"/>
      <c r="Q35" s="184"/>
      <c r="R35" s="183" t="s">
        <v>180</v>
      </c>
      <c r="S35" s="184"/>
      <c r="T35" s="183">
        <f t="shared" si="33"/>
        <v>0</v>
      </c>
      <c r="U35" s="185"/>
      <c r="V35" s="184"/>
      <c r="W35" s="183" t="s">
        <v>180</v>
      </c>
      <c r="X35" s="184"/>
      <c r="Y35" s="183">
        <f t="shared" si="34"/>
        <v>0</v>
      </c>
      <c r="Z35" s="185"/>
      <c r="AA35" s="184"/>
      <c r="AB35" s="183" t="s">
        <v>180</v>
      </c>
      <c r="AC35" s="184"/>
      <c r="AD35" s="183">
        <f t="shared" si="35"/>
        <v>0</v>
      </c>
      <c r="AE35" s="185"/>
      <c r="AF35" s="184"/>
      <c r="AG35" s="183" t="s">
        <v>180</v>
      </c>
      <c r="AH35" s="184"/>
      <c r="AI35" s="183">
        <f t="shared" si="36"/>
        <v>0</v>
      </c>
      <c r="AJ35" s="185"/>
      <c r="AK35" s="184"/>
      <c r="AL35" s="183" t="s">
        <v>180</v>
      </c>
      <c r="AM35" s="184"/>
      <c r="AN35" s="183">
        <f t="shared" si="37"/>
        <v>0</v>
      </c>
      <c r="AO35" s="185"/>
      <c r="AP35" s="184"/>
      <c r="AQ35" s="183" t="s">
        <v>180</v>
      </c>
      <c r="AR35" s="184"/>
      <c r="AS35" s="183">
        <f t="shared" si="38"/>
        <v>0</v>
      </c>
      <c r="AT35" s="185"/>
      <c r="AU35" s="184"/>
      <c r="AV35" s="183" t="s">
        <v>180</v>
      </c>
      <c r="AW35" s="184"/>
      <c r="AX35" s="183">
        <f t="shared" si="39"/>
        <v>0</v>
      </c>
      <c r="AY35" s="185"/>
      <c r="AZ35" s="184"/>
      <c r="BA35" s="183" t="s">
        <v>180</v>
      </c>
      <c r="BB35" s="184"/>
      <c r="BC35" s="183">
        <f t="shared" si="40"/>
        <v>0</v>
      </c>
      <c r="BD35" s="185"/>
      <c r="BE35" s="184"/>
      <c r="BF35" s="183" t="s">
        <v>180</v>
      </c>
      <c r="BG35" s="184"/>
      <c r="BH35" s="183">
        <f t="shared" si="41"/>
        <v>0</v>
      </c>
      <c r="BI35" s="185"/>
      <c r="BJ35" s="184"/>
      <c r="BK35" s="183" t="s">
        <v>180</v>
      </c>
      <c r="BL35" s="184"/>
      <c r="BM35" s="183">
        <f t="shared" si="42"/>
        <v>0</v>
      </c>
      <c r="BN35" s="185"/>
      <c r="BO35" s="184"/>
      <c r="BP35" s="183" t="s">
        <v>180</v>
      </c>
      <c r="BQ35" s="184"/>
      <c r="BR35" s="183">
        <f t="shared" si="43"/>
        <v>0</v>
      </c>
      <c r="BS35" s="185"/>
      <c r="BT35" s="184"/>
      <c r="BU35" s="183" t="s">
        <v>180</v>
      </c>
      <c r="BV35" s="184"/>
    </row>
    <row r="36" spans="1:74" s="144" customFormat="1" ht="15.95" customHeight="1" outlineLevel="1">
      <c r="A36" s="160" t="s">
        <v>663</v>
      </c>
      <c r="B36" s="165" t="s">
        <v>664</v>
      </c>
      <c r="C36" s="162"/>
      <c r="D36" s="163">
        <f t="shared" si="25"/>
        <v>0</v>
      </c>
      <c r="E36" s="164">
        <f t="shared" si="26"/>
        <v>0</v>
      </c>
      <c r="F36" s="164">
        <f t="shared" si="27"/>
        <v>0</v>
      </c>
      <c r="G36" s="164">
        <f t="shared" si="28"/>
        <v>0</v>
      </c>
      <c r="H36" s="164" t="str">
        <f t="shared" si="29"/>
        <v>——</v>
      </c>
      <c r="I36" s="164">
        <f t="shared" si="30"/>
        <v>0</v>
      </c>
      <c r="J36" s="164">
        <f t="shared" si="0"/>
        <v>0</v>
      </c>
      <c r="K36" s="164">
        <f t="shared" si="31"/>
        <v>0</v>
      </c>
      <c r="L36" s="164">
        <f t="shared" si="31"/>
        <v>0</v>
      </c>
      <c r="M36" s="164">
        <f t="shared" si="31"/>
        <v>0</v>
      </c>
      <c r="N36" s="164">
        <f t="shared" si="31"/>
        <v>0</v>
      </c>
      <c r="O36" s="183">
        <f t="shared" si="32"/>
        <v>0</v>
      </c>
      <c r="P36" s="185"/>
      <c r="Q36" s="184"/>
      <c r="R36" s="183" t="s">
        <v>180</v>
      </c>
      <c r="S36" s="184"/>
      <c r="T36" s="183">
        <f t="shared" si="33"/>
        <v>0</v>
      </c>
      <c r="U36" s="185"/>
      <c r="V36" s="184"/>
      <c r="W36" s="183" t="s">
        <v>180</v>
      </c>
      <c r="X36" s="184"/>
      <c r="Y36" s="183">
        <f t="shared" si="34"/>
        <v>0</v>
      </c>
      <c r="Z36" s="185"/>
      <c r="AA36" s="184"/>
      <c r="AB36" s="183" t="s">
        <v>180</v>
      </c>
      <c r="AC36" s="184"/>
      <c r="AD36" s="183">
        <f t="shared" si="35"/>
        <v>0</v>
      </c>
      <c r="AE36" s="185"/>
      <c r="AF36" s="184"/>
      <c r="AG36" s="183" t="s">
        <v>180</v>
      </c>
      <c r="AH36" s="184"/>
      <c r="AI36" s="183">
        <f t="shared" si="36"/>
        <v>0</v>
      </c>
      <c r="AJ36" s="185"/>
      <c r="AK36" s="184"/>
      <c r="AL36" s="183" t="s">
        <v>180</v>
      </c>
      <c r="AM36" s="184"/>
      <c r="AN36" s="183">
        <f t="shared" si="37"/>
        <v>0</v>
      </c>
      <c r="AO36" s="185"/>
      <c r="AP36" s="184"/>
      <c r="AQ36" s="183" t="s">
        <v>180</v>
      </c>
      <c r="AR36" s="184"/>
      <c r="AS36" s="183">
        <f t="shared" si="38"/>
        <v>0</v>
      </c>
      <c r="AT36" s="185"/>
      <c r="AU36" s="184"/>
      <c r="AV36" s="183" t="s">
        <v>180</v>
      </c>
      <c r="AW36" s="184"/>
      <c r="AX36" s="183">
        <f t="shared" si="39"/>
        <v>0</v>
      </c>
      <c r="AY36" s="185"/>
      <c r="AZ36" s="184"/>
      <c r="BA36" s="183" t="s">
        <v>180</v>
      </c>
      <c r="BB36" s="184"/>
      <c r="BC36" s="183">
        <f t="shared" si="40"/>
        <v>0</v>
      </c>
      <c r="BD36" s="185"/>
      <c r="BE36" s="184"/>
      <c r="BF36" s="183" t="s">
        <v>180</v>
      </c>
      <c r="BG36" s="184"/>
      <c r="BH36" s="183">
        <f t="shared" si="41"/>
        <v>0</v>
      </c>
      <c r="BI36" s="185"/>
      <c r="BJ36" s="184"/>
      <c r="BK36" s="183" t="s">
        <v>180</v>
      </c>
      <c r="BL36" s="184"/>
      <c r="BM36" s="183">
        <f t="shared" si="42"/>
        <v>0</v>
      </c>
      <c r="BN36" s="185"/>
      <c r="BO36" s="184"/>
      <c r="BP36" s="183" t="s">
        <v>180</v>
      </c>
      <c r="BQ36" s="184"/>
      <c r="BR36" s="183">
        <f t="shared" si="43"/>
        <v>0</v>
      </c>
      <c r="BS36" s="185"/>
      <c r="BT36" s="184"/>
      <c r="BU36" s="183" t="s">
        <v>180</v>
      </c>
      <c r="BV36" s="184"/>
    </row>
    <row r="37" spans="1:74" s="144" customFormat="1" ht="15.95" customHeight="1" outlineLevel="1">
      <c r="A37" s="160" t="s">
        <v>665</v>
      </c>
      <c r="B37" s="165" t="s">
        <v>666</v>
      </c>
      <c r="C37" s="162"/>
      <c r="D37" s="163">
        <f t="shared" si="25"/>
        <v>0</v>
      </c>
      <c r="E37" s="164">
        <f t="shared" si="26"/>
        <v>0</v>
      </c>
      <c r="F37" s="164">
        <f t="shared" si="27"/>
        <v>0</v>
      </c>
      <c r="G37" s="164">
        <f t="shared" si="28"/>
        <v>0</v>
      </c>
      <c r="H37" s="164" t="str">
        <f t="shared" si="29"/>
        <v>——</v>
      </c>
      <c r="I37" s="164">
        <f t="shared" si="30"/>
        <v>0</v>
      </c>
      <c r="J37" s="164">
        <f t="shared" si="0"/>
        <v>932.04</v>
      </c>
      <c r="K37" s="164">
        <f t="shared" si="31"/>
        <v>0</v>
      </c>
      <c r="L37" s="164">
        <f t="shared" si="31"/>
        <v>932.04</v>
      </c>
      <c r="M37" s="164">
        <f t="shared" si="31"/>
        <v>0</v>
      </c>
      <c r="N37" s="164">
        <f t="shared" si="31"/>
        <v>0</v>
      </c>
      <c r="O37" s="183">
        <f t="shared" si="32"/>
        <v>932.04</v>
      </c>
      <c r="P37" s="185"/>
      <c r="Q37" s="184">
        <v>932.04</v>
      </c>
      <c r="R37" s="183" t="s">
        <v>180</v>
      </c>
      <c r="S37" s="184"/>
      <c r="T37" s="183">
        <f t="shared" si="33"/>
        <v>0</v>
      </c>
      <c r="U37" s="185"/>
      <c r="V37" s="184"/>
      <c r="W37" s="183" t="s">
        <v>180</v>
      </c>
      <c r="X37" s="184"/>
      <c r="Y37" s="183">
        <f t="shared" si="34"/>
        <v>0</v>
      </c>
      <c r="Z37" s="185"/>
      <c r="AA37" s="184"/>
      <c r="AB37" s="183" t="s">
        <v>180</v>
      </c>
      <c r="AC37" s="184"/>
      <c r="AD37" s="183">
        <f t="shared" si="35"/>
        <v>0</v>
      </c>
      <c r="AE37" s="185"/>
      <c r="AF37" s="184"/>
      <c r="AG37" s="183" t="s">
        <v>180</v>
      </c>
      <c r="AH37" s="184"/>
      <c r="AI37" s="183">
        <f t="shared" si="36"/>
        <v>0</v>
      </c>
      <c r="AJ37" s="185"/>
      <c r="AK37" s="184"/>
      <c r="AL37" s="183" t="s">
        <v>180</v>
      </c>
      <c r="AM37" s="184"/>
      <c r="AN37" s="183">
        <f t="shared" si="37"/>
        <v>0</v>
      </c>
      <c r="AO37" s="185"/>
      <c r="AP37" s="184"/>
      <c r="AQ37" s="183" t="s">
        <v>180</v>
      </c>
      <c r="AR37" s="184"/>
      <c r="AS37" s="183">
        <f t="shared" si="38"/>
        <v>0</v>
      </c>
      <c r="AT37" s="185"/>
      <c r="AU37" s="184"/>
      <c r="AV37" s="183" t="s">
        <v>180</v>
      </c>
      <c r="AW37" s="184"/>
      <c r="AX37" s="183">
        <f t="shared" si="39"/>
        <v>0</v>
      </c>
      <c r="AY37" s="185"/>
      <c r="AZ37" s="184"/>
      <c r="BA37" s="183" t="s">
        <v>180</v>
      </c>
      <c r="BB37" s="184"/>
      <c r="BC37" s="183">
        <f t="shared" si="40"/>
        <v>0</v>
      </c>
      <c r="BD37" s="185"/>
      <c r="BE37" s="184"/>
      <c r="BF37" s="183" t="s">
        <v>180</v>
      </c>
      <c r="BG37" s="184"/>
      <c r="BH37" s="183">
        <f t="shared" si="41"/>
        <v>0</v>
      </c>
      <c r="BI37" s="185"/>
      <c r="BJ37" s="184"/>
      <c r="BK37" s="183" t="s">
        <v>180</v>
      </c>
      <c r="BL37" s="184"/>
      <c r="BM37" s="183">
        <f t="shared" si="42"/>
        <v>0</v>
      </c>
      <c r="BN37" s="185"/>
      <c r="BO37" s="184"/>
      <c r="BP37" s="183" t="s">
        <v>180</v>
      </c>
      <c r="BQ37" s="184"/>
      <c r="BR37" s="183">
        <f t="shared" si="43"/>
        <v>0</v>
      </c>
      <c r="BS37" s="185"/>
      <c r="BT37" s="184"/>
      <c r="BU37" s="183" t="s">
        <v>180</v>
      </c>
      <c r="BV37" s="184"/>
    </row>
    <row r="38" spans="1:74" s="144" customFormat="1" ht="15.95" customHeight="1" outlineLevel="1">
      <c r="A38" s="160" t="s">
        <v>667</v>
      </c>
      <c r="B38" s="165" t="s">
        <v>668</v>
      </c>
      <c r="C38" s="162"/>
      <c r="D38" s="163">
        <f t="shared" si="25"/>
        <v>0</v>
      </c>
      <c r="E38" s="164">
        <f t="shared" si="26"/>
        <v>0</v>
      </c>
      <c r="F38" s="164">
        <f t="shared" si="27"/>
        <v>0</v>
      </c>
      <c r="G38" s="164">
        <f t="shared" si="28"/>
        <v>0</v>
      </c>
      <c r="H38" s="164" t="str">
        <f t="shared" si="29"/>
        <v>——</v>
      </c>
      <c r="I38" s="164">
        <f t="shared" si="30"/>
        <v>0</v>
      </c>
      <c r="J38" s="164">
        <f t="shared" si="0"/>
        <v>78550.2</v>
      </c>
      <c r="K38" s="164">
        <f t="shared" si="31"/>
        <v>0</v>
      </c>
      <c r="L38" s="164">
        <f t="shared" si="31"/>
        <v>78550.2</v>
      </c>
      <c r="M38" s="164">
        <f t="shared" si="31"/>
        <v>0</v>
      </c>
      <c r="N38" s="164">
        <f t="shared" si="31"/>
        <v>0</v>
      </c>
      <c r="O38" s="183">
        <f t="shared" si="32"/>
        <v>0</v>
      </c>
      <c r="P38" s="185"/>
      <c r="Q38" s="184"/>
      <c r="R38" s="183" t="s">
        <v>180</v>
      </c>
      <c r="S38" s="184"/>
      <c r="T38" s="183">
        <f t="shared" si="33"/>
        <v>0</v>
      </c>
      <c r="U38" s="185"/>
      <c r="V38" s="184"/>
      <c r="W38" s="183" t="s">
        <v>180</v>
      </c>
      <c r="X38" s="184"/>
      <c r="Y38" s="183">
        <f t="shared" si="34"/>
        <v>0</v>
      </c>
      <c r="Z38" s="185"/>
      <c r="AA38" s="184"/>
      <c r="AB38" s="183" t="s">
        <v>180</v>
      </c>
      <c r="AC38" s="184"/>
      <c r="AD38" s="183">
        <f t="shared" si="35"/>
        <v>0</v>
      </c>
      <c r="AE38" s="185"/>
      <c r="AF38" s="184"/>
      <c r="AG38" s="183" t="s">
        <v>180</v>
      </c>
      <c r="AH38" s="184"/>
      <c r="AI38" s="183">
        <f t="shared" si="36"/>
        <v>0</v>
      </c>
      <c r="AJ38" s="185"/>
      <c r="AK38" s="184"/>
      <c r="AL38" s="183" t="s">
        <v>180</v>
      </c>
      <c r="AM38" s="184"/>
      <c r="AN38" s="183">
        <f t="shared" si="37"/>
        <v>0</v>
      </c>
      <c r="AO38" s="185"/>
      <c r="AP38" s="184"/>
      <c r="AQ38" s="183" t="s">
        <v>180</v>
      </c>
      <c r="AR38" s="184"/>
      <c r="AS38" s="183">
        <f t="shared" si="38"/>
        <v>0</v>
      </c>
      <c r="AT38" s="185"/>
      <c r="AU38" s="184"/>
      <c r="AV38" s="183" t="s">
        <v>180</v>
      </c>
      <c r="AW38" s="184"/>
      <c r="AX38" s="183">
        <f t="shared" si="39"/>
        <v>0</v>
      </c>
      <c r="AY38" s="185"/>
      <c r="AZ38" s="184"/>
      <c r="BA38" s="183" t="s">
        <v>180</v>
      </c>
      <c r="BB38" s="184"/>
      <c r="BC38" s="183">
        <f t="shared" si="40"/>
        <v>0</v>
      </c>
      <c r="BD38" s="185"/>
      <c r="BE38" s="184"/>
      <c r="BF38" s="183" t="s">
        <v>180</v>
      </c>
      <c r="BG38" s="184"/>
      <c r="BH38" s="183">
        <f t="shared" si="41"/>
        <v>78550.2</v>
      </c>
      <c r="BI38" s="185"/>
      <c r="BJ38" s="184">
        <v>78550.2</v>
      </c>
      <c r="BK38" s="183" t="s">
        <v>180</v>
      </c>
      <c r="BL38" s="184"/>
      <c r="BM38" s="183">
        <f t="shared" si="42"/>
        <v>0</v>
      </c>
      <c r="BN38" s="185"/>
      <c r="BO38" s="184"/>
      <c r="BP38" s="183" t="s">
        <v>180</v>
      </c>
      <c r="BQ38" s="184"/>
      <c r="BR38" s="183">
        <f t="shared" si="43"/>
        <v>0</v>
      </c>
      <c r="BS38" s="185"/>
      <c r="BT38" s="184"/>
      <c r="BU38" s="183" t="s">
        <v>180</v>
      </c>
      <c r="BV38" s="184"/>
    </row>
    <row r="39" spans="1:74" s="144" customFormat="1" ht="15.95" customHeight="1" outlineLevel="1">
      <c r="A39" s="160" t="s">
        <v>669</v>
      </c>
      <c r="B39" s="165" t="s">
        <v>670</v>
      </c>
      <c r="C39" s="162"/>
      <c r="D39" s="163">
        <f t="shared" si="25"/>
        <v>0</v>
      </c>
      <c r="E39" s="164">
        <f t="shared" si="26"/>
        <v>0</v>
      </c>
      <c r="F39" s="164">
        <f t="shared" si="27"/>
        <v>0</v>
      </c>
      <c r="G39" s="164">
        <f t="shared" si="28"/>
        <v>0</v>
      </c>
      <c r="H39" s="164" t="str">
        <f t="shared" si="29"/>
        <v>——</v>
      </c>
      <c r="I39" s="164">
        <f t="shared" si="30"/>
        <v>0</v>
      </c>
      <c r="J39" s="164">
        <f t="shared" ref="J39:J56" si="67">SUM(K39:N39)</f>
        <v>0</v>
      </c>
      <c r="K39" s="164">
        <f t="shared" si="31"/>
        <v>0</v>
      </c>
      <c r="L39" s="164">
        <f t="shared" si="31"/>
        <v>0</v>
      </c>
      <c r="M39" s="164">
        <f t="shared" si="31"/>
        <v>0</v>
      </c>
      <c r="N39" s="164">
        <f t="shared" si="31"/>
        <v>0</v>
      </c>
      <c r="O39" s="183">
        <f t="shared" si="32"/>
        <v>0</v>
      </c>
      <c r="P39" s="185"/>
      <c r="Q39" s="184"/>
      <c r="R39" s="183" t="s">
        <v>180</v>
      </c>
      <c r="S39" s="184"/>
      <c r="T39" s="183">
        <f t="shared" si="33"/>
        <v>0</v>
      </c>
      <c r="U39" s="185"/>
      <c r="V39" s="184"/>
      <c r="W39" s="183" t="s">
        <v>180</v>
      </c>
      <c r="X39" s="184"/>
      <c r="Y39" s="183">
        <f t="shared" si="34"/>
        <v>0</v>
      </c>
      <c r="Z39" s="185"/>
      <c r="AA39" s="184"/>
      <c r="AB39" s="183" t="s">
        <v>180</v>
      </c>
      <c r="AC39" s="184"/>
      <c r="AD39" s="183">
        <f t="shared" si="35"/>
        <v>0</v>
      </c>
      <c r="AE39" s="185"/>
      <c r="AF39" s="184"/>
      <c r="AG39" s="183" t="s">
        <v>180</v>
      </c>
      <c r="AH39" s="184"/>
      <c r="AI39" s="183">
        <f t="shared" si="36"/>
        <v>0</v>
      </c>
      <c r="AJ39" s="185"/>
      <c r="AK39" s="184"/>
      <c r="AL39" s="183" t="s">
        <v>180</v>
      </c>
      <c r="AM39" s="184"/>
      <c r="AN39" s="183">
        <f t="shared" si="37"/>
        <v>0</v>
      </c>
      <c r="AO39" s="185"/>
      <c r="AP39" s="184"/>
      <c r="AQ39" s="183" t="s">
        <v>180</v>
      </c>
      <c r="AR39" s="184"/>
      <c r="AS39" s="183">
        <f t="shared" si="38"/>
        <v>0</v>
      </c>
      <c r="AT39" s="185"/>
      <c r="AU39" s="184"/>
      <c r="AV39" s="183" t="s">
        <v>180</v>
      </c>
      <c r="AW39" s="184"/>
      <c r="AX39" s="183">
        <f t="shared" si="39"/>
        <v>0</v>
      </c>
      <c r="AY39" s="185"/>
      <c r="AZ39" s="184"/>
      <c r="BA39" s="183" t="s">
        <v>180</v>
      </c>
      <c r="BB39" s="184"/>
      <c r="BC39" s="183">
        <f t="shared" si="40"/>
        <v>0</v>
      </c>
      <c r="BD39" s="185"/>
      <c r="BE39" s="184"/>
      <c r="BF39" s="183" t="s">
        <v>180</v>
      </c>
      <c r="BG39" s="184"/>
      <c r="BH39" s="183">
        <f t="shared" si="41"/>
        <v>0</v>
      </c>
      <c r="BI39" s="185"/>
      <c r="BJ39" s="184"/>
      <c r="BK39" s="183" t="s">
        <v>180</v>
      </c>
      <c r="BL39" s="184"/>
      <c r="BM39" s="183">
        <f t="shared" si="42"/>
        <v>0</v>
      </c>
      <c r="BN39" s="185"/>
      <c r="BO39" s="184"/>
      <c r="BP39" s="183" t="s">
        <v>180</v>
      </c>
      <c r="BQ39" s="184"/>
      <c r="BR39" s="183">
        <f t="shared" si="43"/>
        <v>0</v>
      </c>
      <c r="BS39" s="185"/>
      <c r="BT39" s="184"/>
      <c r="BU39" s="183" t="s">
        <v>180</v>
      </c>
      <c r="BV39" s="184"/>
    </row>
    <row r="40" spans="1:74" s="144" customFormat="1" ht="15.95" customHeight="1" outlineLevel="1">
      <c r="A40" s="160" t="s">
        <v>671</v>
      </c>
      <c r="B40" s="165" t="s">
        <v>672</v>
      </c>
      <c r="C40" s="162"/>
      <c r="D40" s="163">
        <f t="shared" si="25"/>
        <v>0</v>
      </c>
      <c r="E40" s="164">
        <f t="shared" si="26"/>
        <v>0</v>
      </c>
      <c r="F40" s="164">
        <f t="shared" si="27"/>
        <v>0</v>
      </c>
      <c r="G40" s="164">
        <f t="shared" si="28"/>
        <v>0</v>
      </c>
      <c r="H40" s="164" t="str">
        <f t="shared" si="29"/>
        <v>——</v>
      </c>
      <c r="I40" s="164">
        <f t="shared" si="30"/>
        <v>0</v>
      </c>
      <c r="J40" s="164">
        <f t="shared" si="67"/>
        <v>1173962.8900000001</v>
      </c>
      <c r="K40" s="164">
        <f t="shared" ref="K40:N56" si="68">SUMIF($P$6:$BV$6,K$6,$P40:$BV40)</f>
        <v>0</v>
      </c>
      <c r="L40" s="164">
        <f t="shared" si="68"/>
        <v>1173962.8900000001</v>
      </c>
      <c r="M40" s="164">
        <f t="shared" si="68"/>
        <v>0</v>
      </c>
      <c r="N40" s="164">
        <f t="shared" si="68"/>
        <v>0</v>
      </c>
      <c r="O40" s="183">
        <f t="shared" si="32"/>
        <v>469585.16000000003</v>
      </c>
      <c r="P40" s="185"/>
      <c r="Q40" s="184">
        <v>469585.16000000003</v>
      </c>
      <c r="R40" s="183" t="s">
        <v>180</v>
      </c>
      <c r="S40" s="184"/>
      <c r="T40" s="183">
        <f t="shared" si="33"/>
        <v>0</v>
      </c>
      <c r="U40" s="185"/>
      <c r="V40" s="184"/>
      <c r="W40" s="183" t="s">
        <v>180</v>
      </c>
      <c r="X40" s="184"/>
      <c r="Y40" s="183">
        <f t="shared" si="34"/>
        <v>704377.73</v>
      </c>
      <c r="Z40" s="185"/>
      <c r="AA40" s="184">
        <v>704377.73</v>
      </c>
      <c r="AB40" s="183" t="s">
        <v>180</v>
      </c>
      <c r="AC40" s="184"/>
      <c r="AD40" s="183">
        <f t="shared" si="35"/>
        <v>0</v>
      </c>
      <c r="AE40" s="185"/>
      <c r="AF40" s="184"/>
      <c r="AG40" s="183" t="s">
        <v>180</v>
      </c>
      <c r="AH40" s="184"/>
      <c r="AI40" s="183">
        <f t="shared" si="36"/>
        <v>0</v>
      </c>
      <c r="AJ40" s="185"/>
      <c r="AK40" s="184"/>
      <c r="AL40" s="183" t="s">
        <v>180</v>
      </c>
      <c r="AM40" s="184"/>
      <c r="AN40" s="183">
        <f t="shared" si="37"/>
        <v>0</v>
      </c>
      <c r="AO40" s="185"/>
      <c r="AP40" s="184"/>
      <c r="AQ40" s="183" t="s">
        <v>180</v>
      </c>
      <c r="AR40" s="184"/>
      <c r="AS40" s="183">
        <f t="shared" si="38"/>
        <v>0</v>
      </c>
      <c r="AT40" s="185"/>
      <c r="AU40" s="184"/>
      <c r="AV40" s="183" t="s">
        <v>180</v>
      </c>
      <c r="AW40" s="184"/>
      <c r="AX40" s="183">
        <f t="shared" si="39"/>
        <v>0</v>
      </c>
      <c r="AY40" s="185"/>
      <c r="AZ40" s="184"/>
      <c r="BA40" s="183" t="s">
        <v>180</v>
      </c>
      <c r="BB40" s="184"/>
      <c r="BC40" s="183">
        <f t="shared" si="40"/>
        <v>0</v>
      </c>
      <c r="BD40" s="185"/>
      <c r="BE40" s="184"/>
      <c r="BF40" s="183" t="s">
        <v>180</v>
      </c>
      <c r="BG40" s="184"/>
      <c r="BH40" s="183">
        <f t="shared" si="41"/>
        <v>0</v>
      </c>
      <c r="BI40" s="185"/>
      <c r="BJ40" s="184"/>
      <c r="BK40" s="183" t="s">
        <v>180</v>
      </c>
      <c r="BL40" s="184"/>
      <c r="BM40" s="183">
        <f t="shared" si="42"/>
        <v>0</v>
      </c>
      <c r="BN40" s="185"/>
      <c r="BO40" s="184"/>
      <c r="BP40" s="183" t="s">
        <v>180</v>
      </c>
      <c r="BQ40" s="184"/>
      <c r="BR40" s="183">
        <f t="shared" si="43"/>
        <v>0</v>
      </c>
      <c r="BS40" s="185"/>
      <c r="BT40" s="184"/>
      <c r="BU40" s="183" t="s">
        <v>180</v>
      </c>
      <c r="BV40" s="184"/>
    </row>
    <row r="41" spans="1:74" s="144" customFormat="1" ht="15.95" customHeight="1" outlineLevel="1">
      <c r="A41" s="160" t="s">
        <v>673</v>
      </c>
      <c r="B41" s="165" t="s">
        <v>674</v>
      </c>
      <c r="C41" s="162"/>
      <c r="D41" s="163">
        <f t="shared" si="25"/>
        <v>0</v>
      </c>
      <c r="E41" s="164">
        <f t="shared" si="26"/>
        <v>0</v>
      </c>
      <c r="F41" s="164">
        <f t="shared" si="27"/>
        <v>0</v>
      </c>
      <c r="G41" s="164">
        <f t="shared" si="28"/>
        <v>0</v>
      </c>
      <c r="H41" s="164" t="str">
        <f t="shared" si="29"/>
        <v>——</v>
      </c>
      <c r="I41" s="164">
        <f t="shared" si="30"/>
        <v>0</v>
      </c>
      <c r="J41" s="164">
        <f t="shared" si="67"/>
        <v>0</v>
      </c>
      <c r="K41" s="164">
        <f t="shared" si="68"/>
        <v>0</v>
      </c>
      <c r="L41" s="164">
        <f t="shared" si="68"/>
        <v>0</v>
      </c>
      <c r="M41" s="164">
        <f t="shared" si="68"/>
        <v>0</v>
      </c>
      <c r="N41" s="164">
        <f t="shared" si="68"/>
        <v>0</v>
      </c>
      <c r="O41" s="183">
        <f t="shared" si="32"/>
        <v>0</v>
      </c>
      <c r="P41" s="185"/>
      <c r="Q41" s="184"/>
      <c r="R41" s="183" t="s">
        <v>180</v>
      </c>
      <c r="S41" s="184"/>
      <c r="T41" s="183">
        <f t="shared" si="33"/>
        <v>0</v>
      </c>
      <c r="U41" s="185"/>
      <c r="V41" s="184"/>
      <c r="W41" s="183" t="s">
        <v>180</v>
      </c>
      <c r="X41" s="184"/>
      <c r="Y41" s="183">
        <f t="shared" si="34"/>
        <v>0</v>
      </c>
      <c r="Z41" s="185"/>
      <c r="AA41" s="184"/>
      <c r="AB41" s="183" t="s">
        <v>180</v>
      </c>
      <c r="AC41" s="184"/>
      <c r="AD41" s="183">
        <f t="shared" si="35"/>
        <v>0</v>
      </c>
      <c r="AE41" s="185"/>
      <c r="AF41" s="184"/>
      <c r="AG41" s="183" t="s">
        <v>180</v>
      </c>
      <c r="AH41" s="184"/>
      <c r="AI41" s="183">
        <f t="shared" si="36"/>
        <v>0</v>
      </c>
      <c r="AJ41" s="185"/>
      <c r="AK41" s="184"/>
      <c r="AL41" s="183" t="s">
        <v>180</v>
      </c>
      <c r="AM41" s="184"/>
      <c r="AN41" s="183">
        <f t="shared" si="37"/>
        <v>0</v>
      </c>
      <c r="AO41" s="185"/>
      <c r="AP41" s="184"/>
      <c r="AQ41" s="183" t="s">
        <v>180</v>
      </c>
      <c r="AR41" s="184"/>
      <c r="AS41" s="183">
        <f t="shared" si="38"/>
        <v>0</v>
      </c>
      <c r="AT41" s="185"/>
      <c r="AU41" s="184"/>
      <c r="AV41" s="183" t="s">
        <v>180</v>
      </c>
      <c r="AW41" s="184"/>
      <c r="AX41" s="183">
        <f t="shared" si="39"/>
        <v>0</v>
      </c>
      <c r="AY41" s="185"/>
      <c r="AZ41" s="184"/>
      <c r="BA41" s="183" t="s">
        <v>180</v>
      </c>
      <c r="BB41" s="184"/>
      <c r="BC41" s="183">
        <f t="shared" si="40"/>
        <v>0</v>
      </c>
      <c r="BD41" s="185"/>
      <c r="BE41" s="184"/>
      <c r="BF41" s="183" t="s">
        <v>180</v>
      </c>
      <c r="BG41" s="184"/>
      <c r="BH41" s="183">
        <f t="shared" si="41"/>
        <v>0</v>
      </c>
      <c r="BI41" s="185"/>
      <c r="BJ41" s="184"/>
      <c r="BK41" s="183" t="s">
        <v>180</v>
      </c>
      <c r="BL41" s="184"/>
      <c r="BM41" s="183">
        <f t="shared" si="42"/>
        <v>0</v>
      </c>
      <c r="BN41" s="185"/>
      <c r="BO41" s="184"/>
      <c r="BP41" s="183" t="s">
        <v>180</v>
      </c>
      <c r="BQ41" s="184"/>
      <c r="BR41" s="183">
        <f t="shared" si="43"/>
        <v>0</v>
      </c>
      <c r="BS41" s="185"/>
      <c r="BT41" s="184"/>
      <c r="BU41" s="183" t="s">
        <v>180</v>
      </c>
      <c r="BV41" s="184"/>
    </row>
    <row r="42" spans="1:74" s="144" customFormat="1" ht="15.95" customHeight="1" outlineLevel="1">
      <c r="A42" s="160" t="s">
        <v>675</v>
      </c>
      <c r="B42" s="165" t="s">
        <v>676</v>
      </c>
      <c r="C42" s="162"/>
      <c r="D42" s="163">
        <f t="shared" si="25"/>
        <v>0</v>
      </c>
      <c r="E42" s="164">
        <f t="shared" si="26"/>
        <v>0</v>
      </c>
      <c r="F42" s="164">
        <f t="shared" si="27"/>
        <v>0</v>
      </c>
      <c r="G42" s="164">
        <f t="shared" si="28"/>
        <v>0</v>
      </c>
      <c r="H42" s="164" t="str">
        <f t="shared" si="29"/>
        <v>——</v>
      </c>
      <c r="I42" s="164">
        <f t="shared" si="30"/>
        <v>0</v>
      </c>
      <c r="J42" s="164">
        <f t="shared" si="67"/>
        <v>0</v>
      </c>
      <c r="K42" s="164">
        <f t="shared" si="68"/>
        <v>0</v>
      </c>
      <c r="L42" s="164">
        <f t="shared" si="68"/>
        <v>0</v>
      </c>
      <c r="M42" s="164">
        <f t="shared" si="68"/>
        <v>0</v>
      </c>
      <c r="N42" s="164">
        <f t="shared" si="68"/>
        <v>0</v>
      </c>
      <c r="O42" s="183">
        <f t="shared" si="32"/>
        <v>0</v>
      </c>
      <c r="P42" s="185"/>
      <c r="Q42" s="184"/>
      <c r="R42" s="183" t="s">
        <v>180</v>
      </c>
      <c r="S42" s="184"/>
      <c r="T42" s="183">
        <f t="shared" si="33"/>
        <v>0</v>
      </c>
      <c r="U42" s="185"/>
      <c r="V42" s="184"/>
      <c r="W42" s="183" t="s">
        <v>180</v>
      </c>
      <c r="X42" s="184"/>
      <c r="Y42" s="183">
        <f t="shared" si="34"/>
        <v>0</v>
      </c>
      <c r="Z42" s="185"/>
      <c r="AA42" s="184"/>
      <c r="AB42" s="183" t="s">
        <v>180</v>
      </c>
      <c r="AC42" s="184"/>
      <c r="AD42" s="183">
        <f t="shared" si="35"/>
        <v>0</v>
      </c>
      <c r="AE42" s="185"/>
      <c r="AF42" s="184"/>
      <c r="AG42" s="183" t="s">
        <v>180</v>
      </c>
      <c r="AH42" s="184"/>
      <c r="AI42" s="183">
        <f t="shared" si="36"/>
        <v>0</v>
      </c>
      <c r="AJ42" s="185"/>
      <c r="AK42" s="184"/>
      <c r="AL42" s="183" t="s">
        <v>180</v>
      </c>
      <c r="AM42" s="184"/>
      <c r="AN42" s="183">
        <f t="shared" si="37"/>
        <v>0</v>
      </c>
      <c r="AO42" s="185"/>
      <c r="AP42" s="184"/>
      <c r="AQ42" s="183" t="s">
        <v>180</v>
      </c>
      <c r="AR42" s="184"/>
      <c r="AS42" s="183">
        <f t="shared" si="38"/>
        <v>0</v>
      </c>
      <c r="AT42" s="185"/>
      <c r="AU42" s="184"/>
      <c r="AV42" s="183" t="s">
        <v>180</v>
      </c>
      <c r="AW42" s="184"/>
      <c r="AX42" s="183">
        <f t="shared" si="39"/>
        <v>0</v>
      </c>
      <c r="AY42" s="185"/>
      <c r="AZ42" s="184"/>
      <c r="BA42" s="183" t="s">
        <v>180</v>
      </c>
      <c r="BB42" s="184"/>
      <c r="BC42" s="183">
        <f t="shared" si="40"/>
        <v>0</v>
      </c>
      <c r="BD42" s="185"/>
      <c r="BE42" s="184"/>
      <c r="BF42" s="183" t="s">
        <v>180</v>
      </c>
      <c r="BG42" s="184"/>
      <c r="BH42" s="183">
        <f t="shared" si="41"/>
        <v>0</v>
      </c>
      <c r="BI42" s="185"/>
      <c r="BJ42" s="184"/>
      <c r="BK42" s="183" t="s">
        <v>180</v>
      </c>
      <c r="BL42" s="184"/>
      <c r="BM42" s="183">
        <f t="shared" si="42"/>
        <v>0</v>
      </c>
      <c r="BN42" s="185"/>
      <c r="BO42" s="184"/>
      <c r="BP42" s="183" t="s">
        <v>180</v>
      </c>
      <c r="BQ42" s="184"/>
      <c r="BR42" s="183">
        <f t="shared" si="43"/>
        <v>0</v>
      </c>
      <c r="BS42" s="185"/>
      <c r="BT42" s="184"/>
      <c r="BU42" s="183" t="s">
        <v>180</v>
      </c>
      <c r="BV42" s="184"/>
    </row>
    <row r="43" spans="1:74" s="144" customFormat="1" ht="15.95" customHeight="1" outlineLevel="1">
      <c r="A43" s="160" t="s">
        <v>677</v>
      </c>
      <c r="B43" s="165" t="s">
        <v>678</v>
      </c>
      <c r="C43" s="162"/>
      <c r="D43" s="163">
        <f t="shared" si="25"/>
        <v>0</v>
      </c>
      <c r="E43" s="164">
        <f t="shared" si="26"/>
        <v>0</v>
      </c>
      <c r="F43" s="164">
        <f t="shared" si="27"/>
        <v>0</v>
      </c>
      <c r="G43" s="164">
        <f t="shared" si="28"/>
        <v>0</v>
      </c>
      <c r="H43" s="164" t="str">
        <f t="shared" si="29"/>
        <v>——</v>
      </c>
      <c r="I43" s="164">
        <f t="shared" si="30"/>
        <v>0</v>
      </c>
      <c r="J43" s="164">
        <f t="shared" si="67"/>
        <v>0</v>
      </c>
      <c r="K43" s="164">
        <f t="shared" si="68"/>
        <v>0</v>
      </c>
      <c r="L43" s="164">
        <f t="shared" si="68"/>
        <v>0</v>
      </c>
      <c r="M43" s="164">
        <f t="shared" si="68"/>
        <v>0</v>
      </c>
      <c r="N43" s="164">
        <f t="shared" si="68"/>
        <v>0</v>
      </c>
      <c r="O43" s="183">
        <f t="shared" si="32"/>
        <v>0</v>
      </c>
      <c r="P43" s="185"/>
      <c r="Q43" s="184"/>
      <c r="R43" s="183" t="s">
        <v>180</v>
      </c>
      <c r="S43" s="184"/>
      <c r="T43" s="183">
        <f t="shared" si="33"/>
        <v>0</v>
      </c>
      <c r="U43" s="185"/>
      <c r="V43" s="184"/>
      <c r="W43" s="183" t="s">
        <v>180</v>
      </c>
      <c r="X43" s="184"/>
      <c r="Y43" s="183">
        <f t="shared" si="34"/>
        <v>0</v>
      </c>
      <c r="Z43" s="185"/>
      <c r="AA43" s="184"/>
      <c r="AB43" s="183" t="s">
        <v>180</v>
      </c>
      <c r="AC43" s="184"/>
      <c r="AD43" s="183">
        <f t="shared" si="35"/>
        <v>0</v>
      </c>
      <c r="AE43" s="185"/>
      <c r="AF43" s="184"/>
      <c r="AG43" s="183" t="s">
        <v>180</v>
      </c>
      <c r="AH43" s="184"/>
      <c r="AI43" s="183">
        <f t="shared" si="36"/>
        <v>0</v>
      </c>
      <c r="AJ43" s="185"/>
      <c r="AK43" s="184"/>
      <c r="AL43" s="183" t="s">
        <v>180</v>
      </c>
      <c r="AM43" s="184"/>
      <c r="AN43" s="183">
        <f t="shared" si="37"/>
        <v>0</v>
      </c>
      <c r="AO43" s="185"/>
      <c r="AP43" s="184"/>
      <c r="AQ43" s="183" t="s">
        <v>180</v>
      </c>
      <c r="AR43" s="184"/>
      <c r="AS43" s="183">
        <f t="shared" si="38"/>
        <v>0</v>
      </c>
      <c r="AT43" s="185"/>
      <c r="AU43" s="184"/>
      <c r="AV43" s="183" t="s">
        <v>180</v>
      </c>
      <c r="AW43" s="184"/>
      <c r="AX43" s="183">
        <f t="shared" si="39"/>
        <v>0</v>
      </c>
      <c r="AY43" s="185"/>
      <c r="AZ43" s="184"/>
      <c r="BA43" s="183" t="s">
        <v>180</v>
      </c>
      <c r="BB43" s="184"/>
      <c r="BC43" s="183">
        <f t="shared" si="40"/>
        <v>0</v>
      </c>
      <c r="BD43" s="185"/>
      <c r="BE43" s="184"/>
      <c r="BF43" s="183" t="s">
        <v>180</v>
      </c>
      <c r="BG43" s="184"/>
      <c r="BH43" s="183">
        <f t="shared" si="41"/>
        <v>0</v>
      </c>
      <c r="BI43" s="185"/>
      <c r="BJ43" s="184"/>
      <c r="BK43" s="183" t="s">
        <v>180</v>
      </c>
      <c r="BL43" s="184"/>
      <c r="BM43" s="183">
        <f t="shared" si="42"/>
        <v>0</v>
      </c>
      <c r="BN43" s="185"/>
      <c r="BO43" s="184"/>
      <c r="BP43" s="183" t="s">
        <v>180</v>
      </c>
      <c r="BQ43" s="184"/>
      <c r="BR43" s="183">
        <f t="shared" si="43"/>
        <v>0</v>
      </c>
      <c r="BS43" s="185"/>
      <c r="BT43" s="184"/>
      <c r="BU43" s="183" t="s">
        <v>180</v>
      </c>
      <c r="BV43" s="184"/>
    </row>
    <row r="44" spans="1:74" s="144" customFormat="1" ht="15.95" customHeight="1" outlineLevel="1">
      <c r="A44" s="160" t="s">
        <v>679</v>
      </c>
      <c r="B44" s="165" t="s">
        <v>680</v>
      </c>
      <c r="C44" s="162"/>
      <c r="D44" s="163">
        <f t="shared" si="25"/>
        <v>0</v>
      </c>
      <c r="E44" s="164">
        <f t="shared" si="26"/>
        <v>0</v>
      </c>
      <c r="F44" s="164">
        <f t="shared" si="27"/>
        <v>0</v>
      </c>
      <c r="G44" s="164">
        <f t="shared" si="28"/>
        <v>0</v>
      </c>
      <c r="H44" s="164" t="str">
        <f t="shared" si="29"/>
        <v>——</v>
      </c>
      <c r="I44" s="164">
        <f t="shared" si="30"/>
        <v>0</v>
      </c>
      <c r="J44" s="164">
        <f t="shared" si="67"/>
        <v>0</v>
      </c>
      <c r="K44" s="164">
        <f t="shared" si="68"/>
        <v>0</v>
      </c>
      <c r="L44" s="164">
        <f t="shared" si="68"/>
        <v>0</v>
      </c>
      <c r="M44" s="164">
        <f t="shared" si="68"/>
        <v>0</v>
      </c>
      <c r="N44" s="164">
        <f t="shared" si="68"/>
        <v>0</v>
      </c>
      <c r="O44" s="183">
        <f t="shared" si="32"/>
        <v>0</v>
      </c>
      <c r="P44" s="185"/>
      <c r="Q44" s="184"/>
      <c r="R44" s="183" t="s">
        <v>180</v>
      </c>
      <c r="S44" s="184"/>
      <c r="T44" s="183">
        <f t="shared" si="33"/>
        <v>0</v>
      </c>
      <c r="U44" s="185"/>
      <c r="V44" s="184"/>
      <c r="W44" s="183" t="s">
        <v>180</v>
      </c>
      <c r="X44" s="184"/>
      <c r="Y44" s="183">
        <f t="shared" si="34"/>
        <v>0</v>
      </c>
      <c r="Z44" s="185"/>
      <c r="AA44" s="184"/>
      <c r="AB44" s="183" t="s">
        <v>180</v>
      </c>
      <c r="AC44" s="184"/>
      <c r="AD44" s="183">
        <f t="shared" si="35"/>
        <v>0</v>
      </c>
      <c r="AE44" s="185"/>
      <c r="AF44" s="184"/>
      <c r="AG44" s="183" t="s">
        <v>180</v>
      </c>
      <c r="AH44" s="184"/>
      <c r="AI44" s="183">
        <f t="shared" si="36"/>
        <v>0</v>
      </c>
      <c r="AJ44" s="185"/>
      <c r="AK44" s="184"/>
      <c r="AL44" s="183" t="s">
        <v>180</v>
      </c>
      <c r="AM44" s="184"/>
      <c r="AN44" s="183">
        <f t="shared" si="37"/>
        <v>0</v>
      </c>
      <c r="AO44" s="185"/>
      <c r="AP44" s="184"/>
      <c r="AQ44" s="183" t="s">
        <v>180</v>
      </c>
      <c r="AR44" s="184"/>
      <c r="AS44" s="183">
        <f t="shared" si="38"/>
        <v>0</v>
      </c>
      <c r="AT44" s="185"/>
      <c r="AU44" s="184"/>
      <c r="AV44" s="183" t="s">
        <v>180</v>
      </c>
      <c r="AW44" s="184"/>
      <c r="AX44" s="183">
        <f t="shared" si="39"/>
        <v>0</v>
      </c>
      <c r="AY44" s="185"/>
      <c r="AZ44" s="184"/>
      <c r="BA44" s="183" t="s">
        <v>180</v>
      </c>
      <c r="BB44" s="184"/>
      <c r="BC44" s="183">
        <f t="shared" si="40"/>
        <v>0</v>
      </c>
      <c r="BD44" s="185"/>
      <c r="BE44" s="184"/>
      <c r="BF44" s="183" t="s">
        <v>180</v>
      </c>
      <c r="BG44" s="184"/>
      <c r="BH44" s="183">
        <f t="shared" si="41"/>
        <v>0</v>
      </c>
      <c r="BI44" s="185"/>
      <c r="BJ44" s="184"/>
      <c r="BK44" s="183" t="s">
        <v>180</v>
      </c>
      <c r="BL44" s="184"/>
      <c r="BM44" s="183">
        <f t="shared" si="42"/>
        <v>0</v>
      </c>
      <c r="BN44" s="185"/>
      <c r="BO44" s="184"/>
      <c r="BP44" s="183" t="s">
        <v>180</v>
      </c>
      <c r="BQ44" s="184"/>
      <c r="BR44" s="183">
        <f t="shared" si="43"/>
        <v>0</v>
      </c>
      <c r="BS44" s="185"/>
      <c r="BT44" s="184"/>
      <c r="BU44" s="183" t="s">
        <v>180</v>
      </c>
      <c r="BV44" s="184"/>
    </row>
    <row r="45" spans="1:74" s="144" customFormat="1" ht="15.95" customHeight="1" outlineLevel="1">
      <c r="A45" s="160" t="s">
        <v>681</v>
      </c>
      <c r="B45" s="166" t="s">
        <v>379</v>
      </c>
      <c r="C45" s="162"/>
      <c r="D45" s="163">
        <f t="shared" si="25"/>
        <v>0</v>
      </c>
      <c r="E45" s="164">
        <f t="shared" si="26"/>
        <v>315106.17000000016</v>
      </c>
      <c r="F45" s="164">
        <f t="shared" si="27"/>
        <v>0</v>
      </c>
      <c r="G45" s="164">
        <f t="shared" si="28"/>
        <v>315106.17000000016</v>
      </c>
      <c r="H45" s="164" t="str">
        <f t="shared" si="29"/>
        <v>——</v>
      </c>
      <c r="I45" s="164">
        <f t="shared" si="30"/>
        <v>0</v>
      </c>
      <c r="J45" s="164">
        <f t="shared" si="67"/>
        <v>701536.48000000021</v>
      </c>
      <c r="K45" s="164">
        <f t="shared" si="68"/>
        <v>0</v>
      </c>
      <c r="L45" s="164">
        <f t="shared" si="68"/>
        <v>701536.48000000021</v>
      </c>
      <c r="M45" s="164">
        <f t="shared" si="68"/>
        <v>0</v>
      </c>
      <c r="N45" s="164">
        <f t="shared" si="68"/>
        <v>0</v>
      </c>
      <c r="O45" s="183">
        <f t="shared" si="32"/>
        <v>0</v>
      </c>
      <c r="P45" s="185"/>
      <c r="Q45" s="184"/>
      <c r="R45" s="183" t="s">
        <v>180</v>
      </c>
      <c r="S45" s="184"/>
      <c r="T45" s="183">
        <f t="shared" si="33"/>
        <v>0</v>
      </c>
      <c r="U45" s="185"/>
      <c r="V45" s="184"/>
      <c r="W45" s="183" t="s">
        <v>180</v>
      </c>
      <c r="X45" s="184"/>
      <c r="Y45" s="183">
        <f t="shared" si="34"/>
        <v>0</v>
      </c>
      <c r="Z45" s="185"/>
      <c r="AA45" s="184"/>
      <c r="AB45" s="183" t="s">
        <v>180</v>
      </c>
      <c r="AC45" s="184"/>
      <c r="AD45" s="183">
        <f t="shared" si="35"/>
        <v>0</v>
      </c>
      <c r="AE45" s="185"/>
      <c r="AF45" s="184"/>
      <c r="AG45" s="183" t="s">
        <v>180</v>
      </c>
      <c r="AH45" s="184"/>
      <c r="AI45" s="183">
        <f t="shared" si="36"/>
        <v>0</v>
      </c>
      <c r="AJ45" s="185"/>
      <c r="AK45" s="184"/>
      <c r="AL45" s="183" t="s">
        <v>180</v>
      </c>
      <c r="AM45" s="184"/>
      <c r="AN45" s="183">
        <f t="shared" si="37"/>
        <v>0</v>
      </c>
      <c r="AO45" s="185"/>
      <c r="AP45" s="184"/>
      <c r="AQ45" s="183" t="s">
        <v>180</v>
      </c>
      <c r="AR45" s="184"/>
      <c r="AS45" s="183">
        <f t="shared" si="38"/>
        <v>0</v>
      </c>
      <c r="AT45" s="185"/>
      <c r="AU45" s="184"/>
      <c r="AV45" s="183" t="s">
        <v>180</v>
      </c>
      <c r="AW45" s="184"/>
      <c r="AX45" s="183">
        <f t="shared" si="39"/>
        <v>386430.31000000006</v>
      </c>
      <c r="AY45" s="185"/>
      <c r="AZ45" s="184">
        <v>386430.31000000006</v>
      </c>
      <c r="BA45" s="183" t="s">
        <v>180</v>
      </c>
      <c r="BB45" s="184"/>
      <c r="BC45" s="183">
        <f t="shared" si="40"/>
        <v>386430.30999999982</v>
      </c>
      <c r="BD45" s="185"/>
      <c r="BE45" s="184">
        <v>386430.30999999982</v>
      </c>
      <c r="BF45" s="183" t="s">
        <v>180</v>
      </c>
      <c r="BG45" s="184"/>
      <c r="BH45" s="183">
        <f t="shared" si="41"/>
        <v>-386430.30999999982</v>
      </c>
      <c r="BI45" s="185"/>
      <c r="BJ45" s="184">
        <v>-386430.30999999982</v>
      </c>
      <c r="BK45" s="183" t="s">
        <v>180</v>
      </c>
      <c r="BL45" s="184"/>
      <c r="BM45" s="183">
        <f t="shared" si="42"/>
        <v>0</v>
      </c>
      <c r="BN45" s="185"/>
      <c r="BO45" s="184"/>
      <c r="BP45" s="183" t="s">
        <v>180</v>
      </c>
      <c r="BQ45" s="184"/>
      <c r="BR45" s="183">
        <f t="shared" si="43"/>
        <v>315106.17000000016</v>
      </c>
      <c r="BS45" s="185"/>
      <c r="BT45" s="184">
        <v>315106.17000000016</v>
      </c>
      <c r="BU45" s="183" t="s">
        <v>180</v>
      </c>
      <c r="BV45" s="184"/>
    </row>
    <row r="46" spans="1:74" s="143" customFormat="1" ht="15.95" customHeight="1">
      <c r="A46" s="155">
        <v>3</v>
      </c>
      <c r="B46" s="167" t="s">
        <v>682</v>
      </c>
      <c r="C46" s="157"/>
      <c r="D46" s="158">
        <f t="shared" si="25"/>
        <v>0</v>
      </c>
      <c r="E46" s="159">
        <f t="shared" si="26"/>
        <v>10076.479999999985</v>
      </c>
      <c r="F46" s="159">
        <f t="shared" si="27"/>
        <v>178.88000000000011</v>
      </c>
      <c r="G46" s="159">
        <f t="shared" si="28"/>
        <v>8954.3899999999849</v>
      </c>
      <c r="H46" s="159">
        <f t="shared" si="29"/>
        <v>0</v>
      </c>
      <c r="I46" s="159">
        <f t="shared" si="30"/>
        <v>943.21</v>
      </c>
      <c r="J46" s="159">
        <f t="shared" si="67"/>
        <v>133433.31999999995</v>
      </c>
      <c r="K46" s="159">
        <f t="shared" si="68"/>
        <v>2147</v>
      </c>
      <c r="L46" s="159">
        <f t="shared" si="68"/>
        <v>113065.08999999997</v>
      </c>
      <c r="M46" s="159">
        <f t="shared" si="68"/>
        <v>0</v>
      </c>
      <c r="N46" s="159">
        <f t="shared" si="68"/>
        <v>18221.229999999996</v>
      </c>
      <c r="O46" s="182">
        <f t="shared" si="32"/>
        <v>11337.679999999998</v>
      </c>
      <c r="P46" s="186">
        <f>SUM(P47:P49)</f>
        <v>178.92</v>
      </c>
      <c r="Q46" s="186">
        <f t="shared" ref="Q46:S46" si="69">SUM(Q47:Q49)</f>
        <v>9525.2799999999988</v>
      </c>
      <c r="R46" s="186">
        <f t="shared" si="69"/>
        <v>0</v>
      </c>
      <c r="S46" s="186">
        <f t="shared" si="69"/>
        <v>1633.48</v>
      </c>
      <c r="T46" s="182">
        <f t="shared" si="33"/>
        <v>11337.68</v>
      </c>
      <c r="U46" s="186">
        <f>SUM(U47:U49)</f>
        <v>178.92</v>
      </c>
      <c r="V46" s="186">
        <f t="shared" ref="V46:W46" si="70">SUM(V47:V49)</f>
        <v>9525.2800000000007</v>
      </c>
      <c r="W46" s="186">
        <f t="shared" si="70"/>
        <v>0</v>
      </c>
      <c r="X46" s="186">
        <f t="shared" ref="X46" si="71">SUM(X47:X49)</f>
        <v>1633.48</v>
      </c>
      <c r="Y46" s="182">
        <f t="shared" si="34"/>
        <v>11337.68</v>
      </c>
      <c r="Z46" s="186">
        <f>SUM(Z47:Z49)</f>
        <v>178.92000000000002</v>
      </c>
      <c r="AA46" s="186">
        <f t="shared" ref="AA46:AB46" si="72">SUM(AA47:AA49)</f>
        <v>9525.2800000000007</v>
      </c>
      <c r="AB46" s="186">
        <f t="shared" si="72"/>
        <v>0</v>
      </c>
      <c r="AC46" s="186">
        <f t="shared" ref="AC46" si="73">SUM(AC47:AC49)</f>
        <v>1633.48</v>
      </c>
      <c r="AD46" s="182">
        <f t="shared" si="35"/>
        <v>11337.68</v>
      </c>
      <c r="AE46" s="186">
        <f>SUM(AE47:AE49)</f>
        <v>178.91999999999996</v>
      </c>
      <c r="AF46" s="186">
        <f t="shared" ref="AF46:AG46" si="74">SUM(AF47:AF49)</f>
        <v>9525.2800000000007</v>
      </c>
      <c r="AG46" s="186">
        <f t="shared" si="74"/>
        <v>0</v>
      </c>
      <c r="AH46" s="186">
        <f t="shared" ref="AH46" si="75">SUM(AH47:AH49)</f>
        <v>1633.48</v>
      </c>
      <c r="AI46" s="182">
        <f t="shared" si="36"/>
        <v>11337.68</v>
      </c>
      <c r="AJ46" s="186">
        <f>SUM(AJ47:AJ49)</f>
        <v>178.92000000000007</v>
      </c>
      <c r="AK46" s="186">
        <f t="shared" ref="AK46:AL46" si="76">SUM(AK47:AK49)</f>
        <v>9525.2800000000007</v>
      </c>
      <c r="AL46" s="186">
        <f t="shared" si="76"/>
        <v>0</v>
      </c>
      <c r="AM46" s="186">
        <f t="shared" ref="AM46" si="77">SUM(AM47:AM49)</f>
        <v>1633.48</v>
      </c>
      <c r="AN46" s="182">
        <f t="shared" si="37"/>
        <v>11337.68</v>
      </c>
      <c r="AO46" s="186">
        <f>SUM(AO47:AO49)</f>
        <v>178.91999999999996</v>
      </c>
      <c r="AP46" s="186">
        <f t="shared" ref="AP46:AQ46" si="78">SUM(AP47:AP49)</f>
        <v>9525.2800000000007</v>
      </c>
      <c r="AQ46" s="186">
        <f t="shared" si="78"/>
        <v>0</v>
      </c>
      <c r="AR46" s="186">
        <f t="shared" ref="AR46" si="79">SUM(AR47:AR49)</f>
        <v>1633.48</v>
      </c>
      <c r="AS46" s="182">
        <f t="shared" si="38"/>
        <v>11337.68</v>
      </c>
      <c r="AT46" s="186">
        <f>SUM(AT47:AT49)</f>
        <v>178.92000000000007</v>
      </c>
      <c r="AU46" s="186">
        <f t="shared" ref="AU46:AV46" si="80">SUM(AU47:AU49)</f>
        <v>9525.2800000000007</v>
      </c>
      <c r="AV46" s="186">
        <f t="shared" si="80"/>
        <v>0</v>
      </c>
      <c r="AW46" s="186">
        <f t="shared" ref="AW46" si="81">SUM(AW47:AW49)</f>
        <v>1633.48</v>
      </c>
      <c r="AX46" s="182">
        <f t="shared" si="39"/>
        <v>11337.679999999995</v>
      </c>
      <c r="AY46" s="186">
        <f>SUM(AY47:AY49)</f>
        <v>178.91999999999985</v>
      </c>
      <c r="AZ46" s="186">
        <f t="shared" ref="AZ46:BA46" si="82">SUM(AZ47:AZ49)</f>
        <v>9525.2799999999952</v>
      </c>
      <c r="BA46" s="186">
        <f t="shared" si="82"/>
        <v>0</v>
      </c>
      <c r="BB46" s="186">
        <f t="shared" ref="BB46" si="83">SUM(BB47:BB49)</f>
        <v>1633.48</v>
      </c>
      <c r="BC46" s="182">
        <f t="shared" si="40"/>
        <v>11337.77999999999</v>
      </c>
      <c r="BD46" s="186">
        <f>SUM(BD47:BD49)</f>
        <v>178.92000000000007</v>
      </c>
      <c r="BE46" s="186">
        <f t="shared" ref="BE46:BF46" si="84">SUM(BE47:BE49)</f>
        <v>9525.3799999999901</v>
      </c>
      <c r="BF46" s="186">
        <f t="shared" si="84"/>
        <v>0</v>
      </c>
      <c r="BG46" s="186">
        <f t="shared" ref="BG46" si="85">SUM(BG47:BG49)</f>
        <v>1633.48</v>
      </c>
      <c r="BH46" s="182">
        <f t="shared" si="41"/>
        <v>11241.41</v>
      </c>
      <c r="BI46" s="186">
        <f>SUM(BI47:BI49)</f>
        <v>178.92000000000007</v>
      </c>
      <c r="BJ46" s="186">
        <f t="shared" ref="BJ46:BK46" si="86">SUM(BJ47:BJ49)</f>
        <v>9428.94</v>
      </c>
      <c r="BK46" s="186">
        <f t="shared" si="86"/>
        <v>0</v>
      </c>
      <c r="BL46" s="186">
        <f t="shared" ref="BL46" si="87">SUM(BL47:BL49)</f>
        <v>1633.55</v>
      </c>
      <c r="BM46" s="182">
        <f t="shared" si="42"/>
        <v>10076.209999999999</v>
      </c>
      <c r="BN46" s="186">
        <f>SUM(BN47:BN49)</f>
        <v>178.91999999999985</v>
      </c>
      <c r="BO46" s="186">
        <f t="shared" ref="BO46:BP46" si="88">SUM(BO47:BO49)</f>
        <v>8954.14</v>
      </c>
      <c r="BP46" s="186">
        <f t="shared" si="88"/>
        <v>0</v>
      </c>
      <c r="BQ46" s="186">
        <f t="shared" ref="BQ46" si="89">SUM(BQ47:BQ49)</f>
        <v>943.14999999999964</v>
      </c>
      <c r="BR46" s="182">
        <f t="shared" si="43"/>
        <v>10076.479999999985</v>
      </c>
      <c r="BS46" s="186">
        <f>SUM(BS47:BS49)</f>
        <v>178.88000000000011</v>
      </c>
      <c r="BT46" s="186">
        <f t="shared" ref="BT46:BU46" si="90">SUM(BT47:BT49)</f>
        <v>8954.3899999999849</v>
      </c>
      <c r="BU46" s="186">
        <f t="shared" si="90"/>
        <v>0</v>
      </c>
      <c r="BV46" s="186">
        <f t="shared" ref="BV46" si="91">SUM(BV47:BV49)</f>
        <v>943.21</v>
      </c>
    </row>
    <row r="47" spans="1:74" s="144" customFormat="1" ht="15.95" customHeight="1" outlineLevel="1">
      <c r="A47" s="160">
        <v>3.1</v>
      </c>
      <c r="B47" s="165" t="s">
        <v>683</v>
      </c>
      <c r="C47" s="162"/>
      <c r="D47" s="163">
        <f t="shared" si="25"/>
        <v>0</v>
      </c>
      <c r="E47" s="164">
        <f t="shared" si="26"/>
        <v>10076.479999999985</v>
      </c>
      <c r="F47" s="164">
        <f t="shared" si="27"/>
        <v>178.88000000000011</v>
      </c>
      <c r="G47" s="164">
        <f t="shared" si="28"/>
        <v>8954.3899999999849</v>
      </c>
      <c r="H47" s="164" t="str">
        <f t="shared" si="29"/>
        <v>——</v>
      </c>
      <c r="I47" s="164">
        <f t="shared" si="30"/>
        <v>943.21</v>
      </c>
      <c r="J47" s="164">
        <f t="shared" si="67"/>
        <v>133433.31999999995</v>
      </c>
      <c r="K47" s="164">
        <f t="shared" si="68"/>
        <v>2147</v>
      </c>
      <c r="L47" s="164">
        <f t="shared" si="68"/>
        <v>113065.08999999997</v>
      </c>
      <c r="M47" s="164">
        <f t="shared" si="68"/>
        <v>0</v>
      </c>
      <c r="N47" s="164">
        <f t="shared" si="68"/>
        <v>18221.229999999996</v>
      </c>
      <c r="O47" s="183">
        <f t="shared" si="32"/>
        <v>11337.679999999998</v>
      </c>
      <c r="P47" s="185">
        <v>178.92</v>
      </c>
      <c r="Q47" s="184">
        <v>9525.2799999999988</v>
      </c>
      <c r="R47" s="183" t="s">
        <v>180</v>
      </c>
      <c r="S47" s="184">
        <v>1633.48</v>
      </c>
      <c r="T47" s="183">
        <f t="shared" si="33"/>
        <v>11337.68</v>
      </c>
      <c r="U47" s="185">
        <v>178.92</v>
      </c>
      <c r="V47" s="184">
        <v>9525.2800000000007</v>
      </c>
      <c r="W47" s="183" t="s">
        <v>180</v>
      </c>
      <c r="X47" s="184">
        <v>1633.48</v>
      </c>
      <c r="Y47" s="183">
        <f t="shared" si="34"/>
        <v>11337.68</v>
      </c>
      <c r="Z47" s="185">
        <v>178.92000000000002</v>
      </c>
      <c r="AA47" s="184">
        <v>9525.2800000000007</v>
      </c>
      <c r="AB47" s="183" t="s">
        <v>180</v>
      </c>
      <c r="AC47" s="184">
        <v>1633.48</v>
      </c>
      <c r="AD47" s="183">
        <f t="shared" si="35"/>
        <v>11337.68</v>
      </c>
      <c r="AE47" s="185">
        <v>178.91999999999996</v>
      </c>
      <c r="AF47" s="184">
        <v>9525.2800000000007</v>
      </c>
      <c r="AG47" s="183" t="s">
        <v>180</v>
      </c>
      <c r="AH47" s="184">
        <v>1633.48</v>
      </c>
      <c r="AI47" s="183">
        <f t="shared" si="36"/>
        <v>11337.68</v>
      </c>
      <c r="AJ47" s="185">
        <v>178.92000000000007</v>
      </c>
      <c r="AK47" s="184">
        <v>9525.2800000000007</v>
      </c>
      <c r="AL47" s="183" t="s">
        <v>180</v>
      </c>
      <c r="AM47" s="184">
        <v>1633.48</v>
      </c>
      <c r="AN47" s="183">
        <f t="shared" si="37"/>
        <v>11337.68</v>
      </c>
      <c r="AO47" s="185">
        <v>178.91999999999996</v>
      </c>
      <c r="AP47" s="184">
        <v>9525.2800000000007</v>
      </c>
      <c r="AQ47" s="183" t="s">
        <v>180</v>
      </c>
      <c r="AR47" s="184">
        <v>1633.48</v>
      </c>
      <c r="AS47" s="183">
        <f t="shared" si="38"/>
        <v>11337.68</v>
      </c>
      <c r="AT47" s="185">
        <v>178.92000000000007</v>
      </c>
      <c r="AU47" s="184">
        <v>9525.2800000000007</v>
      </c>
      <c r="AV47" s="183" t="s">
        <v>180</v>
      </c>
      <c r="AW47" s="184">
        <v>1633.48</v>
      </c>
      <c r="AX47" s="183">
        <f t="shared" si="39"/>
        <v>11337.679999999995</v>
      </c>
      <c r="AY47" s="185">
        <v>178.91999999999985</v>
      </c>
      <c r="AZ47" s="184">
        <v>9525.2799999999952</v>
      </c>
      <c r="BA47" s="183" t="s">
        <v>180</v>
      </c>
      <c r="BB47" s="184">
        <v>1633.48</v>
      </c>
      <c r="BC47" s="183">
        <f t="shared" si="40"/>
        <v>11337.77999999999</v>
      </c>
      <c r="BD47" s="185">
        <v>178.92000000000007</v>
      </c>
      <c r="BE47" s="184">
        <v>9525.3799999999901</v>
      </c>
      <c r="BF47" s="183" t="s">
        <v>180</v>
      </c>
      <c r="BG47" s="184">
        <v>1633.48</v>
      </c>
      <c r="BH47" s="183">
        <f t="shared" si="41"/>
        <v>11241.41</v>
      </c>
      <c r="BI47" s="185">
        <v>178.92000000000007</v>
      </c>
      <c r="BJ47" s="184">
        <v>9428.94</v>
      </c>
      <c r="BK47" s="183" t="s">
        <v>180</v>
      </c>
      <c r="BL47" s="184">
        <v>1633.55</v>
      </c>
      <c r="BM47" s="183">
        <f t="shared" si="42"/>
        <v>10076.209999999999</v>
      </c>
      <c r="BN47" s="185">
        <v>178.91999999999985</v>
      </c>
      <c r="BO47" s="184">
        <v>8954.14</v>
      </c>
      <c r="BP47" s="183" t="s">
        <v>180</v>
      </c>
      <c r="BQ47" s="184">
        <v>943.14999999999964</v>
      </c>
      <c r="BR47" s="183">
        <f t="shared" si="43"/>
        <v>10076.479999999985</v>
      </c>
      <c r="BS47" s="185">
        <v>178.88000000000011</v>
      </c>
      <c r="BT47" s="184">
        <v>8954.3899999999849</v>
      </c>
      <c r="BU47" s="183" t="s">
        <v>180</v>
      </c>
      <c r="BV47" s="184">
        <v>943.21</v>
      </c>
    </row>
    <row r="48" spans="1:74" s="144" customFormat="1" ht="15.95" customHeight="1" outlineLevel="1">
      <c r="A48" s="160">
        <v>3.2</v>
      </c>
      <c r="B48" s="165" t="s">
        <v>684</v>
      </c>
      <c r="C48" s="162"/>
      <c r="D48" s="163">
        <f t="shared" si="25"/>
        <v>0</v>
      </c>
      <c r="E48" s="164">
        <f t="shared" si="26"/>
        <v>0</v>
      </c>
      <c r="F48" s="164">
        <f t="shared" si="27"/>
        <v>0</v>
      </c>
      <c r="G48" s="164">
        <f t="shared" si="28"/>
        <v>0</v>
      </c>
      <c r="H48" s="164" t="str">
        <f t="shared" si="29"/>
        <v>——</v>
      </c>
      <c r="I48" s="164">
        <f t="shared" si="30"/>
        <v>0</v>
      </c>
      <c r="J48" s="164">
        <f t="shared" si="67"/>
        <v>0</v>
      </c>
      <c r="K48" s="164">
        <f t="shared" si="68"/>
        <v>0</v>
      </c>
      <c r="L48" s="164">
        <f t="shared" si="68"/>
        <v>0</v>
      </c>
      <c r="M48" s="164">
        <f t="shared" si="68"/>
        <v>0</v>
      </c>
      <c r="N48" s="164">
        <f t="shared" si="68"/>
        <v>0</v>
      </c>
      <c r="O48" s="183">
        <f t="shared" si="32"/>
        <v>0</v>
      </c>
      <c r="P48" s="185"/>
      <c r="Q48" s="184"/>
      <c r="R48" s="183" t="s">
        <v>180</v>
      </c>
      <c r="S48" s="184"/>
      <c r="T48" s="183">
        <f t="shared" si="33"/>
        <v>0</v>
      </c>
      <c r="U48" s="185"/>
      <c r="V48" s="184"/>
      <c r="W48" s="183" t="s">
        <v>180</v>
      </c>
      <c r="X48" s="184"/>
      <c r="Y48" s="183">
        <f t="shared" si="34"/>
        <v>0</v>
      </c>
      <c r="Z48" s="185"/>
      <c r="AA48" s="184"/>
      <c r="AB48" s="183" t="s">
        <v>180</v>
      </c>
      <c r="AC48" s="184"/>
      <c r="AD48" s="183">
        <f t="shared" si="35"/>
        <v>0</v>
      </c>
      <c r="AE48" s="185"/>
      <c r="AF48" s="184"/>
      <c r="AG48" s="183" t="s">
        <v>180</v>
      </c>
      <c r="AH48" s="184"/>
      <c r="AI48" s="183">
        <f t="shared" si="36"/>
        <v>0</v>
      </c>
      <c r="AJ48" s="185"/>
      <c r="AK48" s="184"/>
      <c r="AL48" s="183" t="s">
        <v>180</v>
      </c>
      <c r="AM48" s="184"/>
      <c r="AN48" s="183">
        <f t="shared" si="37"/>
        <v>0</v>
      </c>
      <c r="AO48" s="185"/>
      <c r="AP48" s="184"/>
      <c r="AQ48" s="183" t="s">
        <v>180</v>
      </c>
      <c r="AR48" s="184"/>
      <c r="AS48" s="183">
        <f t="shared" si="38"/>
        <v>0</v>
      </c>
      <c r="AT48" s="185"/>
      <c r="AU48" s="184"/>
      <c r="AV48" s="183" t="s">
        <v>180</v>
      </c>
      <c r="AW48" s="184"/>
      <c r="AX48" s="183">
        <f t="shared" si="39"/>
        <v>0</v>
      </c>
      <c r="AY48" s="185"/>
      <c r="AZ48" s="184"/>
      <c r="BA48" s="183" t="s">
        <v>180</v>
      </c>
      <c r="BB48" s="184"/>
      <c r="BC48" s="183">
        <f t="shared" si="40"/>
        <v>0</v>
      </c>
      <c r="BD48" s="185"/>
      <c r="BE48" s="184"/>
      <c r="BF48" s="183" t="s">
        <v>180</v>
      </c>
      <c r="BG48" s="184"/>
      <c r="BH48" s="183">
        <f t="shared" si="41"/>
        <v>0</v>
      </c>
      <c r="BI48" s="185"/>
      <c r="BJ48" s="184"/>
      <c r="BK48" s="183" t="s">
        <v>180</v>
      </c>
      <c r="BL48" s="184"/>
      <c r="BM48" s="183">
        <f t="shared" si="42"/>
        <v>0</v>
      </c>
      <c r="BN48" s="185"/>
      <c r="BO48" s="184"/>
      <c r="BP48" s="183" t="s">
        <v>180</v>
      </c>
      <c r="BQ48" s="184"/>
      <c r="BR48" s="183">
        <f t="shared" si="43"/>
        <v>0</v>
      </c>
      <c r="BS48" s="185"/>
      <c r="BT48" s="184"/>
      <c r="BU48" s="183" t="s">
        <v>180</v>
      </c>
      <c r="BV48" s="184"/>
    </row>
    <row r="49" spans="1:74" s="144" customFormat="1" ht="15.95" customHeight="1" outlineLevel="1">
      <c r="A49" s="160">
        <v>3.3</v>
      </c>
      <c r="B49" s="165" t="s">
        <v>685</v>
      </c>
      <c r="C49" s="162"/>
      <c r="D49" s="163">
        <f t="shared" si="25"/>
        <v>0</v>
      </c>
      <c r="E49" s="164">
        <f t="shared" si="26"/>
        <v>0</v>
      </c>
      <c r="F49" s="164">
        <f t="shared" si="27"/>
        <v>0</v>
      </c>
      <c r="G49" s="164">
        <f t="shared" si="28"/>
        <v>0</v>
      </c>
      <c r="H49" s="164" t="str">
        <f t="shared" si="29"/>
        <v>——</v>
      </c>
      <c r="I49" s="164">
        <f t="shared" si="30"/>
        <v>0</v>
      </c>
      <c r="J49" s="164">
        <f t="shared" si="67"/>
        <v>0</v>
      </c>
      <c r="K49" s="164">
        <f t="shared" si="68"/>
        <v>0</v>
      </c>
      <c r="L49" s="164">
        <f t="shared" si="68"/>
        <v>0</v>
      </c>
      <c r="M49" s="164">
        <f t="shared" si="68"/>
        <v>0</v>
      </c>
      <c r="N49" s="164">
        <f t="shared" si="68"/>
        <v>0</v>
      </c>
      <c r="O49" s="183">
        <f t="shared" si="32"/>
        <v>0</v>
      </c>
      <c r="P49" s="185"/>
      <c r="Q49" s="184"/>
      <c r="R49" s="183" t="s">
        <v>180</v>
      </c>
      <c r="S49" s="184"/>
      <c r="T49" s="183">
        <f t="shared" si="33"/>
        <v>0</v>
      </c>
      <c r="U49" s="185"/>
      <c r="V49" s="184"/>
      <c r="W49" s="183" t="s">
        <v>180</v>
      </c>
      <c r="X49" s="184"/>
      <c r="Y49" s="183">
        <f t="shared" si="34"/>
        <v>0</v>
      </c>
      <c r="Z49" s="185"/>
      <c r="AA49" s="184"/>
      <c r="AB49" s="183" t="s">
        <v>180</v>
      </c>
      <c r="AC49" s="184"/>
      <c r="AD49" s="183">
        <f t="shared" si="35"/>
        <v>0</v>
      </c>
      <c r="AE49" s="185"/>
      <c r="AF49" s="184"/>
      <c r="AG49" s="183" t="s">
        <v>180</v>
      </c>
      <c r="AH49" s="184"/>
      <c r="AI49" s="183">
        <f t="shared" si="36"/>
        <v>0</v>
      </c>
      <c r="AJ49" s="185"/>
      <c r="AK49" s="184"/>
      <c r="AL49" s="183" t="s">
        <v>180</v>
      </c>
      <c r="AM49" s="184"/>
      <c r="AN49" s="183">
        <f t="shared" si="37"/>
        <v>0</v>
      </c>
      <c r="AO49" s="185"/>
      <c r="AP49" s="184"/>
      <c r="AQ49" s="183" t="s">
        <v>180</v>
      </c>
      <c r="AR49" s="184"/>
      <c r="AS49" s="183">
        <f t="shared" si="38"/>
        <v>0</v>
      </c>
      <c r="AT49" s="185"/>
      <c r="AU49" s="184"/>
      <c r="AV49" s="183" t="s">
        <v>180</v>
      </c>
      <c r="AW49" s="184"/>
      <c r="AX49" s="183">
        <f t="shared" si="39"/>
        <v>0</v>
      </c>
      <c r="AY49" s="185"/>
      <c r="AZ49" s="184"/>
      <c r="BA49" s="183" t="s">
        <v>180</v>
      </c>
      <c r="BB49" s="184"/>
      <c r="BC49" s="183">
        <f t="shared" si="40"/>
        <v>0</v>
      </c>
      <c r="BD49" s="185"/>
      <c r="BE49" s="184"/>
      <c r="BF49" s="183" t="s">
        <v>180</v>
      </c>
      <c r="BG49" s="184"/>
      <c r="BH49" s="183">
        <f t="shared" si="41"/>
        <v>0</v>
      </c>
      <c r="BI49" s="185"/>
      <c r="BJ49" s="184"/>
      <c r="BK49" s="183" t="s">
        <v>180</v>
      </c>
      <c r="BL49" s="184"/>
      <c r="BM49" s="183">
        <f t="shared" si="42"/>
        <v>0</v>
      </c>
      <c r="BN49" s="185"/>
      <c r="BO49" s="184"/>
      <c r="BP49" s="183" t="s">
        <v>180</v>
      </c>
      <c r="BQ49" s="184"/>
      <c r="BR49" s="183">
        <f t="shared" si="43"/>
        <v>0</v>
      </c>
      <c r="BS49" s="185"/>
      <c r="BT49" s="184"/>
      <c r="BU49" s="183" t="s">
        <v>180</v>
      </c>
      <c r="BV49" s="184"/>
    </row>
    <row r="50" spans="1:74" s="143" customFormat="1" ht="15.95" customHeight="1" outlineLevel="1">
      <c r="A50" s="155" t="s">
        <v>686</v>
      </c>
      <c r="B50" s="168" t="s">
        <v>687</v>
      </c>
      <c r="C50" s="157"/>
      <c r="D50" s="158">
        <f t="shared" si="25"/>
        <v>0</v>
      </c>
      <c r="E50" s="159">
        <f t="shared" si="26"/>
        <v>-1534.4799999999996</v>
      </c>
      <c r="F50" s="159">
        <f t="shared" si="27"/>
        <v>0</v>
      </c>
      <c r="G50" s="159">
        <f t="shared" si="28"/>
        <v>0</v>
      </c>
      <c r="H50" s="159">
        <f t="shared" si="29"/>
        <v>-1534.4799999999996</v>
      </c>
      <c r="I50" s="159">
        <f t="shared" si="30"/>
        <v>0</v>
      </c>
      <c r="J50" s="159">
        <f t="shared" si="67"/>
        <v>-16072.000000000002</v>
      </c>
      <c r="K50" s="159">
        <f t="shared" si="68"/>
        <v>0</v>
      </c>
      <c r="L50" s="159">
        <f t="shared" si="68"/>
        <v>0</v>
      </c>
      <c r="M50" s="159">
        <f t="shared" si="68"/>
        <v>-16072.000000000002</v>
      </c>
      <c r="N50" s="159">
        <f t="shared" si="68"/>
        <v>0</v>
      </c>
      <c r="O50" s="159">
        <f t="shared" si="32"/>
        <v>794.98</v>
      </c>
      <c r="P50" s="159">
        <f t="shared" ref="P50" si="92">SUM(P51:P55)</f>
        <v>0</v>
      </c>
      <c r="Q50" s="159">
        <f t="shared" ref="Q50:S50" si="93">SUM(Q51:Q55)</f>
        <v>0</v>
      </c>
      <c r="R50" s="159">
        <f t="shared" si="93"/>
        <v>794.98</v>
      </c>
      <c r="S50" s="159">
        <f t="shared" si="93"/>
        <v>0</v>
      </c>
      <c r="T50" s="159">
        <f t="shared" si="33"/>
        <v>33</v>
      </c>
      <c r="U50" s="159">
        <f t="shared" ref="U50" si="94">SUM(U51:U55)</f>
        <v>0</v>
      </c>
      <c r="V50" s="159">
        <f t="shared" ref="V50:W50" si="95">SUM(V51:V55)</f>
        <v>0</v>
      </c>
      <c r="W50" s="159">
        <f t="shared" si="95"/>
        <v>33</v>
      </c>
      <c r="X50" s="159">
        <f t="shared" ref="X50" si="96">SUM(X51:X55)</f>
        <v>0</v>
      </c>
      <c r="Y50" s="159">
        <f t="shared" si="34"/>
        <v>-6919.22</v>
      </c>
      <c r="Z50" s="159">
        <f t="shared" ref="Z50" si="97">SUM(Z51:Z55)</f>
        <v>0</v>
      </c>
      <c r="AA50" s="159">
        <f t="shared" ref="AA50:AB50" si="98">SUM(AA51:AA55)</f>
        <v>0</v>
      </c>
      <c r="AB50" s="159">
        <f t="shared" si="98"/>
        <v>-6919.22</v>
      </c>
      <c r="AC50" s="159">
        <f t="shared" ref="AC50" si="99">SUM(AC51:AC55)</f>
        <v>0</v>
      </c>
      <c r="AD50" s="159">
        <f t="shared" si="35"/>
        <v>104</v>
      </c>
      <c r="AE50" s="159">
        <f t="shared" ref="AE50" si="100">SUM(AE51:AE55)</f>
        <v>0</v>
      </c>
      <c r="AF50" s="159">
        <f t="shared" ref="AF50:AG50" si="101">SUM(AF51:AF55)</f>
        <v>0</v>
      </c>
      <c r="AG50" s="159">
        <f t="shared" si="101"/>
        <v>104</v>
      </c>
      <c r="AH50" s="159">
        <f t="shared" ref="AH50" si="102">SUM(AH51:AH55)</f>
        <v>0</v>
      </c>
      <c r="AI50" s="159">
        <f t="shared" si="36"/>
        <v>179.89</v>
      </c>
      <c r="AJ50" s="159">
        <f t="shared" ref="AJ50" si="103">SUM(AJ51:AJ55)</f>
        <v>0</v>
      </c>
      <c r="AK50" s="159">
        <f t="shared" ref="AK50:AL50" si="104">SUM(AK51:AK55)</f>
        <v>0</v>
      </c>
      <c r="AL50" s="159">
        <f t="shared" si="104"/>
        <v>179.89</v>
      </c>
      <c r="AM50" s="159">
        <f t="shared" ref="AM50" si="105">SUM(AM51:AM55)</f>
        <v>0</v>
      </c>
      <c r="AN50" s="159">
        <f t="shared" si="37"/>
        <v>-6790.26</v>
      </c>
      <c r="AO50" s="159">
        <f t="shared" ref="AO50" si="106">SUM(AO51:AO55)</f>
        <v>0</v>
      </c>
      <c r="AP50" s="159">
        <f t="shared" ref="AP50:AQ50" si="107">SUM(AP51:AP55)</f>
        <v>0</v>
      </c>
      <c r="AQ50" s="159">
        <f t="shared" si="107"/>
        <v>-6790.26</v>
      </c>
      <c r="AR50" s="159">
        <f t="shared" ref="AR50" si="108">SUM(AR51:AR55)</f>
        <v>0</v>
      </c>
      <c r="AS50" s="159">
        <f t="shared" si="38"/>
        <v>236</v>
      </c>
      <c r="AT50" s="159">
        <f t="shared" ref="AT50" si="109">SUM(AT51:AT55)</f>
        <v>0</v>
      </c>
      <c r="AU50" s="159">
        <f t="shared" ref="AU50:AV50" si="110">SUM(AU51:AU55)</f>
        <v>0</v>
      </c>
      <c r="AV50" s="159">
        <f t="shared" si="110"/>
        <v>236</v>
      </c>
      <c r="AW50" s="159">
        <f t="shared" ref="AW50" si="111">SUM(AW51:AW55)</f>
        <v>0</v>
      </c>
      <c r="AX50" s="159">
        <f t="shared" si="39"/>
        <v>201</v>
      </c>
      <c r="AY50" s="159">
        <f t="shared" ref="AY50" si="112">SUM(AY51:AY55)</f>
        <v>0</v>
      </c>
      <c r="AZ50" s="159">
        <f t="shared" ref="AZ50:BA50" si="113">SUM(AZ51:AZ55)</f>
        <v>0</v>
      </c>
      <c r="BA50" s="159">
        <f t="shared" si="113"/>
        <v>201</v>
      </c>
      <c r="BB50" s="159">
        <f t="shared" ref="BB50" si="114">SUM(BB51:BB55)</f>
        <v>0</v>
      </c>
      <c r="BC50" s="159">
        <f t="shared" si="40"/>
        <v>-2415.9100000000012</v>
      </c>
      <c r="BD50" s="159">
        <f t="shared" ref="BD50" si="115">SUM(BD51:BD55)</f>
        <v>0</v>
      </c>
      <c r="BE50" s="159">
        <f t="shared" ref="BE50:BF50" si="116">SUM(BE51:BE55)</f>
        <v>0</v>
      </c>
      <c r="BF50" s="159">
        <f t="shared" si="116"/>
        <v>-2415.9100000000012</v>
      </c>
      <c r="BG50" s="159">
        <f t="shared" ref="BG50" si="117">SUM(BG51:BG55)</f>
        <v>0</v>
      </c>
      <c r="BH50" s="159">
        <f t="shared" si="41"/>
        <v>25</v>
      </c>
      <c r="BI50" s="159">
        <f t="shared" ref="BI50" si="118">SUM(BI51:BI55)</f>
        <v>0</v>
      </c>
      <c r="BJ50" s="159">
        <f t="shared" ref="BJ50:BK50" si="119">SUM(BJ51:BJ55)</f>
        <v>0</v>
      </c>
      <c r="BK50" s="159">
        <f t="shared" si="119"/>
        <v>25</v>
      </c>
      <c r="BL50" s="159">
        <f t="shared" ref="BL50" si="120">SUM(BL51:BL55)</f>
        <v>0</v>
      </c>
      <c r="BM50" s="159">
        <f t="shared" si="42"/>
        <v>14</v>
      </c>
      <c r="BN50" s="159">
        <f t="shared" ref="BN50" si="121">SUM(BN51:BN55)</f>
        <v>0</v>
      </c>
      <c r="BO50" s="159">
        <f t="shared" ref="BO50:BP50" si="122">SUM(BO51:BO55)</f>
        <v>0</v>
      </c>
      <c r="BP50" s="159">
        <f t="shared" si="122"/>
        <v>14</v>
      </c>
      <c r="BQ50" s="159">
        <f t="shared" ref="BQ50" si="123">SUM(BQ51:BQ55)</f>
        <v>0</v>
      </c>
      <c r="BR50" s="159">
        <f t="shared" si="43"/>
        <v>-1534.4799999999996</v>
      </c>
      <c r="BS50" s="159">
        <f t="shared" ref="BS50" si="124">SUM(BS51:BS55)</f>
        <v>0</v>
      </c>
      <c r="BT50" s="159">
        <f t="shared" ref="BT50:BU50" si="125">SUM(BT51:BT55)</f>
        <v>0</v>
      </c>
      <c r="BU50" s="159">
        <f t="shared" si="125"/>
        <v>-1534.4799999999996</v>
      </c>
      <c r="BV50" s="159">
        <f t="shared" ref="BV50" si="126">SUM(BV51:BV55)</f>
        <v>0</v>
      </c>
    </row>
    <row r="51" spans="1:74" s="144" customFormat="1" ht="15.95" customHeight="1" outlineLevel="1">
      <c r="A51" s="160" t="s">
        <v>688</v>
      </c>
      <c r="B51" s="166" t="s">
        <v>689</v>
      </c>
      <c r="C51" s="162"/>
      <c r="D51" s="163">
        <f t="shared" si="25"/>
        <v>0</v>
      </c>
      <c r="E51" s="164">
        <f t="shared" si="26"/>
        <v>0</v>
      </c>
      <c r="F51" s="164" t="str">
        <f t="shared" si="27"/>
        <v>——</v>
      </c>
      <c r="G51" s="164" t="str">
        <f t="shared" si="28"/>
        <v>——</v>
      </c>
      <c r="H51" s="164">
        <f t="shared" si="29"/>
        <v>0</v>
      </c>
      <c r="I51" s="164">
        <f t="shared" si="30"/>
        <v>0</v>
      </c>
      <c r="J51" s="164">
        <f t="shared" si="67"/>
        <v>0</v>
      </c>
      <c r="K51" s="164">
        <f t="shared" si="68"/>
        <v>0</v>
      </c>
      <c r="L51" s="164">
        <f t="shared" si="68"/>
        <v>0</v>
      </c>
      <c r="M51" s="164">
        <f t="shared" si="68"/>
        <v>0</v>
      </c>
      <c r="N51" s="164">
        <f t="shared" si="68"/>
        <v>0</v>
      </c>
      <c r="O51" s="183">
        <f t="shared" si="32"/>
        <v>0</v>
      </c>
      <c r="P51" s="183" t="s">
        <v>180</v>
      </c>
      <c r="Q51" s="183" t="s">
        <v>180</v>
      </c>
      <c r="R51" s="184"/>
      <c r="S51" s="184"/>
      <c r="T51" s="183">
        <f t="shared" si="33"/>
        <v>0</v>
      </c>
      <c r="U51" s="183" t="s">
        <v>180</v>
      </c>
      <c r="V51" s="183" t="s">
        <v>180</v>
      </c>
      <c r="W51" s="184"/>
      <c r="X51" s="184"/>
      <c r="Y51" s="183">
        <f t="shared" si="34"/>
        <v>0</v>
      </c>
      <c r="Z51" s="183" t="s">
        <v>180</v>
      </c>
      <c r="AA51" s="183" t="s">
        <v>180</v>
      </c>
      <c r="AB51" s="184"/>
      <c r="AC51" s="184"/>
      <c r="AD51" s="183">
        <f t="shared" si="35"/>
        <v>0</v>
      </c>
      <c r="AE51" s="183" t="s">
        <v>180</v>
      </c>
      <c r="AF51" s="183" t="s">
        <v>180</v>
      </c>
      <c r="AG51" s="184"/>
      <c r="AH51" s="184"/>
      <c r="AI51" s="183">
        <f t="shared" si="36"/>
        <v>0</v>
      </c>
      <c r="AJ51" s="183" t="s">
        <v>180</v>
      </c>
      <c r="AK51" s="183" t="s">
        <v>180</v>
      </c>
      <c r="AL51" s="184"/>
      <c r="AM51" s="184"/>
      <c r="AN51" s="183">
        <f t="shared" si="37"/>
        <v>0</v>
      </c>
      <c r="AO51" s="183" t="s">
        <v>180</v>
      </c>
      <c r="AP51" s="183" t="s">
        <v>180</v>
      </c>
      <c r="AQ51" s="184"/>
      <c r="AR51" s="184"/>
      <c r="AS51" s="183">
        <f t="shared" si="38"/>
        <v>0</v>
      </c>
      <c r="AT51" s="183" t="s">
        <v>180</v>
      </c>
      <c r="AU51" s="183" t="s">
        <v>180</v>
      </c>
      <c r="AV51" s="184"/>
      <c r="AW51" s="184"/>
      <c r="AX51" s="183">
        <f t="shared" si="39"/>
        <v>0</v>
      </c>
      <c r="AY51" s="183" t="s">
        <v>180</v>
      </c>
      <c r="AZ51" s="183" t="s">
        <v>180</v>
      </c>
      <c r="BA51" s="184"/>
      <c r="BB51" s="184"/>
      <c r="BC51" s="183">
        <f t="shared" si="40"/>
        <v>0</v>
      </c>
      <c r="BD51" s="183" t="s">
        <v>180</v>
      </c>
      <c r="BE51" s="183" t="s">
        <v>180</v>
      </c>
      <c r="BF51" s="184"/>
      <c r="BG51" s="184"/>
      <c r="BH51" s="183">
        <f t="shared" si="41"/>
        <v>0</v>
      </c>
      <c r="BI51" s="183" t="s">
        <v>180</v>
      </c>
      <c r="BJ51" s="183" t="s">
        <v>180</v>
      </c>
      <c r="BK51" s="184"/>
      <c r="BL51" s="184"/>
      <c r="BM51" s="183">
        <f t="shared" si="42"/>
        <v>0</v>
      </c>
      <c r="BN51" s="183" t="s">
        <v>180</v>
      </c>
      <c r="BO51" s="183" t="s">
        <v>180</v>
      </c>
      <c r="BP51" s="184"/>
      <c r="BQ51" s="184"/>
      <c r="BR51" s="183">
        <f t="shared" si="43"/>
        <v>0</v>
      </c>
      <c r="BS51" s="183" t="s">
        <v>180</v>
      </c>
      <c r="BT51" s="183" t="s">
        <v>180</v>
      </c>
      <c r="BU51" s="184"/>
      <c r="BV51" s="184"/>
    </row>
    <row r="52" spans="1:74" s="144" customFormat="1" ht="15.95" customHeight="1" outlineLevel="1">
      <c r="A52" s="160" t="s">
        <v>690</v>
      </c>
      <c r="B52" s="165" t="s">
        <v>305</v>
      </c>
      <c r="C52" s="162"/>
      <c r="D52" s="163">
        <f t="shared" si="25"/>
        <v>0</v>
      </c>
      <c r="E52" s="164">
        <f t="shared" si="26"/>
        <v>-2639.4799999999996</v>
      </c>
      <c r="F52" s="164" t="str">
        <f t="shared" si="27"/>
        <v>——</v>
      </c>
      <c r="G52" s="164" t="str">
        <f t="shared" si="28"/>
        <v>——</v>
      </c>
      <c r="H52" s="164">
        <f t="shared" si="29"/>
        <v>-2639.4799999999996</v>
      </c>
      <c r="I52" s="164">
        <f t="shared" si="30"/>
        <v>0</v>
      </c>
      <c r="J52" s="164">
        <f t="shared" si="67"/>
        <v>-19632.02</v>
      </c>
      <c r="K52" s="164">
        <f t="shared" si="68"/>
        <v>0</v>
      </c>
      <c r="L52" s="164">
        <f t="shared" si="68"/>
        <v>0</v>
      </c>
      <c r="M52" s="164">
        <f t="shared" si="68"/>
        <v>-19632.02</v>
      </c>
      <c r="N52" s="164">
        <f t="shared" si="68"/>
        <v>0</v>
      </c>
      <c r="O52" s="183">
        <f t="shared" si="32"/>
        <v>0</v>
      </c>
      <c r="P52" s="183" t="s">
        <v>180</v>
      </c>
      <c r="Q52" s="183" t="s">
        <v>180</v>
      </c>
      <c r="R52" s="184"/>
      <c r="S52" s="184"/>
      <c r="T52" s="183">
        <f t="shared" si="33"/>
        <v>0</v>
      </c>
      <c r="U52" s="183" t="s">
        <v>180</v>
      </c>
      <c r="V52" s="183" t="s">
        <v>180</v>
      </c>
      <c r="W52" s="184"/>
      <c r="X52" s="184"/>
      <c r="Y52" s="183">
        <f t="shared" si="34"/>
        <v>-7290.22</v>
      </c>
      <c r="Z52" s="183" t="s">
        <v>180</v>
      </c>
      <c r="AA52" s="183" t="s">
        <v>180</v>
      </c>
      <c r="AB52" s="184">
        <v>-7290.22</v>
      </c>
      <c r="AC52" s="184"/>
      <c r="AD52" s="183">
        <f t="shared" si="35"/>
        <v>0</v>
      </c>
      <c r="AE52" s="183" t="s">
        <v>180</v>
      </c>
      <c r="AF52" s="183" t="s">
        <v>180</v>
      </c>
      <c r="AG52" s="184"/>
      <c r="AH52" s="184"/>
      <c r="AI52" s="183">
        <f t="shared" si="36"/>
        <v>0</v>
      </c>
      <c r="AJ52" s="183" t="s">
        <v>180</v>
      </c>
      <c r="AK52" s="183" t="s">
        <v>180</v>
      </c>
      <c r="AL52" s="184"/>
      <c r="AM52" s="184"/>
      <c r="AN52" s="183">
        <f t="shared" si="37"/>
        <v>-7070.26</v>
      </c>
      <c r="AO52" s="183" t="s">
        <v>180</v>
      </c>
      <c r="AP52" s="183" t="s">
        <v>180</v>
      </c>
      <c r="AQ52" s="184">
        <v>-7070.26</v>
      </c>
      <c r="AR52" s="184"/>
      <c r="AS52" s="183">
        <f t="shared" si="38"/>
        <v>0</v>
      </c>
      <c r="AT52" s="183" t="s">
        <v>180</v>
      </c>
      <c r="AU52" s="183" t="s">
        <v>180</v>
      </c>
      <c r="AV52" s="184"/>
      <c r="AW52" s="184"/>
      <c r="AX52" s="183">
        <f t="shared" si="39"/>
        <v>0</v>
      </c>
      <c r="AY52" s="183" t="s">
        <v>180</v>
      </c>
      <c r="AZ52" s="183" t="s">
        <v>180</v>
      </c>
      <c r="BA52" s="184"/>
      <c r="BB52" s="184"/>
      <c r="BC52" s="183">
        <f t="shared" si="40"/>
        <v>-2632.0600000000013</v>
      </c>
      <c r="BD52" s="183" t="s">
        <v>180</v>
      </c>
      <c r="BE52" s="183" t="s">
        <v>180</v>
      </c>
      <c r="BF52" s="184">
        <v>-2632.0600000000013</v>
      </c>
      <c r="BG52" s="184"/>
      <c r="BH52" s="183">
        <f t="shared" si="41"/>
        <v>0</v>
      </c>
      <c r="BI52" s="183" t="s">
        <v>180</v>
      </c>
      <c r="BJ52" s="183" t="s">
        <v>180</v>
      </c>
      <c r="BK52" s="184"/>
      <c r="BL52" s="184"/>
      <c r="BM52" s="183">
        <f t="shared" si="42"/>
        <v>0</v>
      </c>
      <c r="BN52" s="183" t="s">
        <v>180</v>
      </c>
      <c r="BO52" s="183" t="s">
        <v>180</v>
      </c>
      <c r="BP52" s="184"/>
      <c r="BQ52" s="184"/>
      <c r="BR52" s="183">
        <f t="shared" si="43"/>
        <v>-2639.4799999999996</v>
      </c>
      <c r="BS52" s="183" t="s">
        <v>180</v>
      </c>
      <c r="BT52" s="183" t="s">
        <v>180</v>
      </c>
      <c r="BU52" s="184">
        <v>-2639.4799999999996</v>
      </c>
      <c r="BV52" s="184"/>
    </row>
    <row r="53" spans="1:74" s="144" customFormat="1" ht="15.95" customHeight="1" outlineLevel="1">
      <c r="A53" s="160" t="s">
        <v>691</v>
      </c>
      <c r="B53" s="165" t="s">
        <v>692</v>
      </c>
      <c r="C53" s="162"/>
      <c r="D53" s="163">
        <f t="shared" si="25"/>
        <v>0</v>
      </c>
      <c r="E53" s="164">
        <f t="shared" si="26"/>
        <v>1105</v>
      </c>
      <c r="F53" s="164" t="str">
        <f t="shared" si="27"/>
        <v>——</v>
      </c>
      <c r="G53" s="164" t="str">
        <f t="shared" si="28"/>
        <v>——</v>
      </c>
      <c r="H53" s="164">
        <f t="shared" si="29"/>
        <v>1105</v>
      </c>
      <c r="I53" s="164">
        <f t="shared" si="30"/>
        <v>0</v>
      </c>
      <c r="J53" s="164">
        <f t="shared" si="67"/>
        <v>3560.02</v>
      </c>
      <c r="K53" s="164">
        <f t="shared" si="68"/>
        <v>0</v>
      </c>
      <c r="L53" s="164">
        <f t="shared" si="68"/>
        <v>0</v>
      </c>
      <c r="M53" s="164">
        <f t="shared" si="68"/>
        <v>3560.02</v>
      </c>
      <c r="N53" s="164">
        <f t="shared" si="68"/>
        <v>0</v>
      </c>
      <c r="O53" s="183">
        <f t="shared" si="32"/>
        <v>794.98</v>
      </c>
      <c r="P53" s="183" t="s">
        <v>180</v>
      </c>
      <c r="Q53" s="183" t="s">
        <v>180</v>
      </c>
      <c r="R53" s="184">
        <v>794.98</v>
      </c>
      <c r="S53" s="184"/>
      <c r="T53" s="183">
        <f t="shared" si="33"/>
        <v>33</v>
      </c>
      <c r="U53" s="183" t="s">
        <v>180</v>
      </c>
      <c r="V53" s="183" t="s">
        <v>180</v>
      </c>
      <c r="W53" s="184">
        <v>33</v>
      </c>
      <c r="X53" s="184"/>
      <c r="Y53" s="183">
        <f t="shared" si="34"/>
        <v>371</v>
      </c>
      <c r="Z53" s="183" t="s">
        <v>180</v>
      </c>
      <c r="AA53" s="183" t="s">
        <v>180</v>
      </c>
      <c r="AB53" s="184">
        <v>371</v>
      </c>
      <c r="AC53" s="184"/>
      <c r="AD53" s="183">
        <f t="shared" si="35"/>
        <v>104</v>
      </c>
      <c r="AE53" s="183" t="s">
        <v>180</v>
      </c>
      <c r="AF53" s="183" t="s">
        <v>180</v>
      </c>
      <c r="AG53" s="184">
        <v>104</v>
      </c>
      <c r="AH53" s="184"/>
      <c r="AI53" s="183">
        <f t="shared" si="36"/>
        <v>179.89</v>
      </c>
      <c r="AJ53" s="183" t="s">
        <v>180</v>
      </c>
      <c r="AK53" s="183" t="s">
        <v>180</v>
      </c>
      <c r="AL53" s="189">
        <v>179.89</v>
      </c>
      <c r="AM53" s="184"/>
      <c r="AN53" s="183">
        <f t="shared" si="37"/>
        <v>280</v>
      </c>
      <c r="AO53" s="183" t="s">
        <v>180</v>
      </c>
      <c r="AP53" s="183" t="s">
        <v>180</v>
      </c>
      <c r="AQ53" s="184">
        <v>280</v>
      </c>
      <c r="AR53" s="184"/>
      <c r="AS53" s="183">
        <f t="shared" si="38"/>
        <v>236</v>
      </c>
      <c r="AT53" s="183" t="s">
        <v>180</v>
      </c>
      <c r="AU53" s="183" t="s">
        <v>180</v>
      </c>
      <c r="AV53" s="184">
        <v>236</v>
      </c>
      <c r="AW53" s="184"/>
      <c r="AX53" s="183">
        <f t="shared" si="39"/>
        <v>201</v>
      </c>
      <c r="AY53" s="183" t="s">
        <v>180</v>
      </c>
      <c r="AZ53" s="183" t="s">
        <v>180</v>
      </c>
      <c r="BA53" s="184">
        <v>201</v>
      </c>
      <c r="BB53" s="184"/>
      <c r="BC53" s="183">
        <f t="shared" si="40"/>
        <v>216.15000000000009</v>
      </c>
      <c r="BD53" s="183" t="s">
        <v>180</v>
      </c>
      <c r="BE53" s="183" t="s">
        <v>180</v>
      </c>
      <c r="BF53" s="184">
        <v>216.15000000000009</v>
      </c>
      <c r="BG53" s="184"/>
      <c r="BH53" s="183">
        <f t="shared" si="41"/>
        <v>25</v>
      </c>
      <c r="BI53" s="183" t="s">
        <v>180</v>
      </c>
      <c r="BJ53" s="183" t="s">
        <v>180</v>
      </c>
      <c r="BK53" s="184">
        <v>25</v>
      </c>
      <c r="BL53" s="184"/>
      <c r="BM53" s="183">
        <f t="shared" si="42"/>
        <v>14</v>
      </c>
      <c r="BN53" s="183" t="s">
        <v>180</v>
      </c>
      <c r="BO53" s="183" t="s">
        <v>180</v>
      </c>
      <c r="BP53" s="184">
        <v>14</v>
      </c>
      <c r="BQ53" s="184"/>
      <c r="BR53" s="183">
        <f t="shared" si="43"/>
        <v>1105</v>
      </c>
      <c r="BS53" s="183" t="s">
        <v>180</v>
      </c>
      <c r="BT53" s="183" t="s">
        <v>180</v>
      </c>
      <c r="BU53" s="184">
        <v>1105</v>
      </c>
      <c r="BV53" s="184"/>
    </row>
    <row r="54" spans="1:74" s="144" customFormat="1" ht="15.95" customHeight="1" outlineLevel="1">
      <c r="A54" s="160" t="s">
        <v>693</v>
      </c>
      <c r="B54" s="165" t="s">
        <v>694</v>
      </c>
      <c r="C54" s="162"/>
      <c r="D54" s="163">
        <f t="shared" si="25"/>
        <v>0</v>
      </c>
      <c r="E54" s="164">
        <f t="shared" si="26"/>
        <v>0</v>
      </c>
      <c r="F54" s="164" t="str">
        <f t="shared" si="27"/>
        <v>——</v>
      </c>
      <c r="G54" s="164" t="str">
        <f t="shared" si="28"/>
        <v>——</v>
      </c>
      <c r="H54" s="164">
        <f t="shared" si="29"/>
        <v>0</v>
      </c>
      <c r="I54" s="164">
        <f t="shared" si="30"/>
        <v>0</v>
      </c>
      <c r="J54" s="164">
        <f t="shared" si="67"/>
        <v>0</v>
      </c>
      <c r="K54" s="164">
        <f t="shared" si="68"/>
        <v>0</v>
      </c>
      <c r="L54" s="164">
        <f t="shared" si="68"/>
        <v>0</v>
      </c>
      <c r="M54" s="164">
        <f t="shared" si="68"/>
        <v>0</v>
      </c>
      <c r="N54" s="164">
        <f t="shared" si="68"/>
        <v>0</v>
      </c>
      <c r="O54" s="183">
        <f t="shared" si="32"/>
        <v>0</v>
      </c>
      <c r="P54" s="183" t="s">
        <v>180</v>
      </c>
      <c r="Q54" s="183" t="s">
        <v>180</v>
      </c>
      <c r="R54" s="184"/>
      <c r="S54" s="184"/>
      <c r="T54" s="183">
        <f t="shared" si="33"/>
        <v>0</v>
      </c>
      <c r="U54" s="183" t="s">
        <v>180</v>
      </c>
      <c r="V54" s="183" t="s">
        <v>180</v>
      </c>
      <c r="W54" s="184"/>
      <c r="X54" s="184"/>
      <c r="Y54" s="183">
        <f t="shared" si="34"/>
        <v>0</v>
      </c>
      <c r="Z54" s="183" t="s">
        <v>180</v>
      </c>
      <c r="AA54" s="183" t="s">
        <v>180</v>
      </c>
      <c r="AB54" s="184"/>
      <c r="AC54" s="184"/>
      <c r="AD54" s="183">
        <f t="shared" si="35"/>
        <v>0</v>
      </c>
      <c r="AE54" s="183" t="s">
        <v>180</v>
      </c>
      <c r="AF54" s="183" t="s">
        <v>180</v>
      </c>
      <c r="AG54" s="184"/>
      <c r="AH54" s="184"/>
      <c r="AI54" s="183">
        <f t="shared" si="36"/>
        <v>0</v>
      </c>
      <c r="AJ54" s="183" t="s">
        <v>180</v>
      </c>
      <c r="AK54" s="183" t="s">
        <v>180</v>
      </c>
      <c r="AL54" s="184"/>
      <c r="AM54" s="184"/>
      <c r="AN54" s="183">
        <f t="shared" si="37"/>
        <v>0</v>
      </c>
      <c r="AO54" s="183" t="s">
        <v>180</v>
      </c>
      <c r="AP54" s="183" t="s">
        <v>180</v>
      </c>
      <c r="AQ54" s="184"/>
      <c r="AR54" s="184"/>
      <c r="AS54" s="183">
        <f t="shared" si="38"/>
        <v>0</v>
      </c>
      <c r="AT54" s="183" t="s">
        <v>180</v>
      </c>
      <c r="AU54" s="183" t="s">
        <v>180</v>
      </c>
      <c r="AV54" s="184"/>
      <c r="AW54" s="184"/>
      <c r="AX54" s="183">
        <f t="shared" si="39"/>
        <v>0</v>
      </c>
      <c r="AY54" s="183" t="s">
        <v>180</v>
      </c>
      <c r="AZ54" s="183" t="s">
        <v>180</v>
      </c>
      <c r="BA54" s="184"/>
      <c r="BB54" s="184"/>
      <c r="BC54" s="183">
        <f t="shared" si="40"/>
        <v>0</v>
      </c>
      <c r="BD54" s="183" t="s">
        <v>180</v>
      </c>
      <c r="BE54" s="183" t="s">
        <v>180</v>
      </c>
      <c r="BF54" s="184"/>
      <c r="BG54" s="184"/>
      <c r="BH54" s="183">
        <f t="shared" si="41"/>
        <v>0</v>
      </c>
      <c r="BI54" s="183" t="s">
        <v>180</v>
      </c>
      <c r="BJ54" s="183" t="s">
        <v>180</v>
      </c>
      <c r="BK54" s="184"/>
      <c r="BL54" s="184"/>
      <c r="BM54" s="183">
        <f t="shared" si="42"/>
        <v>0</v>
      </c>
      <c r="BN54" s="183" t="s">
        <v>180</v>
      </c>
      <c r="BO54" s="183" t="s">
        <v>180</v>
      </c>
      <c r="BP54" s="184"/>
      <c r="BQ54" s="184"/>
      <c r="BR54" s="183">
        <f t="shared" si="43"/>
        <v>0</v>
      </c>
      <c r="BS54" s="183" t="s">
        <v>180</v>
      </c>
      <c r="BT54" s="183" t="s">
        <v>180</v>
      </c>
      <c r="BU54" s="184"/>
      <c r="BV54" s="184"/>
    </row>
    <row r="55" spans="1:74" s="144" customFormat="1" ht="15.95" customHeight="1" outlineLevel="1">
      <c r="A55" s="160" t="s">
        <v>695</v>
      </c>
      <c r="B55" s="165" t="s">
        <v>696</v>
      </c>
      <c r="C55" s="162"/>
      <c r="D55" s="163">
        <f t="shared" si="25"/>
        <v>0</v>
      </c>
      <c r="E55" s="164">
        <f t="shared" si="26"/>
        <v>0</v>
      </c>
      <c r="F55" s="164" t="str">
        <f t="shared" si="27"/>
        <v>——</v>
      </c>
      <c r="G55" s="164" t="str">
        <f t="shared" si="28"/>
        <v>——</v>
      </c>
      <c r="H55" s="164">
        <f t="shared" si="29"/>
        <v>0</v>
      </c>
      <c r="I55" s="164">
        <f t="shared" si="30"/>
        <v>0</v>
      </c>
      <c r="J55" s="164">
        <f t="shared" si="67"/>
        <v>0</v>
      </c>
      <c r="K55" s="164">
        <f t="shared" si="68"/>
        <v>0</v>
      </c>
      <c r="L55" s="164">
        <f t="shared" si="68"/>
        <v>0</v>
      </c>
      <c r="M55" s="164">
        <f t="shared" si="68"/>
        <v>0</v>
      </c>
      <c r="N55" s="164">
        <f t="shared" si="68"/>
        <v>0</v>
      </c>
      <c r="O55" s="183">
        <f t="shared" si="32"/>
        <v>0</v>
      </c>
      <c r="P55" s="183" t="s">
        <v>180</v>
      </c>
      <c r="Q55" s="183" t="s">
        <v>180</v>
      </c>
      <c r="R55" s="184"/>
      <c r="S55" s="184"/>
      <c r="T55" s="183">
        <f t="shared" si="33"/>
        <v>0</v>
      </c>
      <c r="U55" s="183" t="s">
        <v>180</v>
      </c>
      <c r="V55" s="183" t="s">
        <v>180</v>
      </c>
      <c r="W55" s="184"/>
      <c r="X55" s="184"/>
      <c r="Y55" s="183">
        <f t="shared" si="34"/>
        <v>0</v>
      </c>
      <c r="Z55" s="183" t="s">
        <v>180</v>
      </c>
      <c r="AA55" s="183" t="s">
        <v>180</v>
      </c>
      <c r="AB55" s="184"/>
      <c r="AC55" s="184"/>
      <c r="AD55" s="183">
        <f t="shared" si="35"/>
        <v>0</v>
      </c>
      <c r="AE55" s="183" t="s">
        <v>180</v>
      </c>
      <c r="AF55" s="183" t="s">
        <v>180</v>
      </c>
      <c r="AG55" s="184"/>
      <c r="AH55" s="184"/>
      <c r="AI55" s="183">
        <f t="shared" si="36"/>
        <v>0</v>
      </c>
      <c r="AJ55" s="183" t="s">
        <v>180</v>
      </c>
      <c r="AK55" s="183" t="s">
        <v>180</v>
      </c>
      <c r="AL55" s="184"/>
      <c r="AM55" s="184"/>
      <c r="AN55" s="183">
        <f t="shared" si="37"/>
        <v>0</v>
      </c>
      <c r="AO55" s="183" t="s">
        <v>180</v>
      </c>
      <c r="AP55" s="183" t="s">
        <v>180</v>
      </c>
      <c r="AQ55" s="184"/>
      <c r="AR55" s="184"/>
      <c r="AS55" s="183">
        <f t="shared" si="38"/>
        <v>0</v>
      </c>
      <c r="AT55" s="183" t="s">
        <v>180</v>
      </c>
      <c r="AU55" s="183" t="s">
        <v>180</v>
      </c>
      <c r="AV55" s="184"/>
      <c r="AW55" s="184"/>
      <c r="AX55" s="183">
        <f t="shared" si="39"/>
        <v>0</v>
      </c>
      <c r="AY55" s="183" t="s">
        <v>180</v>
      </c>
      <c r="AZ55" s="183" t="s">
        <v>180</v>
      </c>
      <c r="BA55" s="184"/>
      <c r="BB55" s="184"/>
      <c r="BC55" s="183">
        <f t="shared" si="40"/>
        <v>0</v>
      </c>
      <c r="BD55" s="183" t="s">
        <v>180</v>
      </c>
      <c r="BE55" s="183" t="s">
        <v>180</v>
      </c>
      <c r="BF55" s="184"/>
      <c r="BG55" s="184"/>
      <c r="BH55" s="183">
        <f t="shared" si="41"/>
        <v>0</v>
      </c>
      <c r="BI55" s="183" t="s">
        <v>180</v>
      </c>
      <c r="BJ55" s="183" t="s">
        <v>180</v>
      </c>
      <c r="BK55" s="184"/>
      <c r="BL55" s="184"/>
      <c r="BM55" s="183">
        <f t="shared" si="42"/>
        <v>0</v>
      </c>
      <c r="BN55" s="183" t="s">
        <v>180</v>
      </c>
      <c r="BO55" s="183" t="s">
        <v>180</v>
      </c>
      <c r="BP55" s="184"/>
      <c r="BQ55" s="184"/>
      <c r="BR55" s="183">
        <f t="shared" si="43"/>
        <v>0</v>
      </c>
      <c r="BS55" s="183" t="s">
        <v>180</v>
      </c>
      <c r="BT55" s="183" t="s">
        <v>180</v>
      </c>
      <c r="BU55" s="184"/>
      <c r="BV55" s="184"/>
    </row>
    <row r="56" spans="1:74" s="143" customFormat="1" ht="15.95" customHeight="1">
      <c r="A56" s="169"/>
      <c r="B56" s="168" t="s">
        <v>534</v>
      </c>
      <c r="C56" s="157">
        <f>C7+C13+C46+C50</f>
        <v>0</v>
      </c>
      <c r="D56" s="158">
        <f t="shared" si="25"/>
        <v>0</v>
      </c>
      <c r="E56" s="159">
        <f t="shared" si="26"/>
        <v>542750.64000000036</v>
      </c>
      <c r="F56" s="159">
        <f t="shared" si="27"/>
        <v>178.88000000000011</v>
      </c>
      <c r="G56" s="159">
        <f t="shared" si="28"/>
        <v>459311.66000000038</v>
      </c>
      <c r="H56" s="159">
        <f t="shared" si="29"/>
        <v>-1534.4799999999996</v>
      </c>
      <c r="I56" s="159">
        <f t="shared" si="30"/>
        <v>84794.58</v>
      </c>
      <c r="J56" s="159">
        <f t="shared" si="67"/>
        <v>16572170.939999999</v>
      </c>
      <c r="K56" s="159">
        <f t="shared" si="68"/>
        <v>554536.83000000019</v>
      </c>
      <c r="L56" s="159">
        <f t="shared" si="68"/>
        <v>11760649.949999999</v>
      </c>
      <c r="M56" s="159">
        <f t="shared" si="68"/>
        <v>-16072.000000000002</v>
      </c>
      <c r="N56" s="159">
        <f t="shared" si="68"/>
        <v>4273056.16</v>
      </c>
      <c r="O56" s="159">
        <f t="shared" si="32"/>
        <v>2563892.02</v>
      </c>
      <c r="P56" s="159">
        <f>P7+P13+P46+P50</f>
        <v>181327.86000000002</v>
      </c>
      <c r="Q56" s="159">
        <f>Q7+Q13+Q46+Q50</f>
        <v>1156596.46</v>
      </c>
      <c r="R56" s="159">
        <f t="shared" ref="R56:S56" si="127">R7+R13+R46+R50</f>
        <v>794.98</v>
      </c>
      <c r="S56" s="159">
        <f t="shared" si="127"/>
        <v>1225172.72</v>
      </c>
      <c r="T56" s="159">
        <f t="shared" si="33"/>
        <v>945737.19000000006</v>
      </c>
      <c r="U56" s="159">
        <f>U7+U13+U46+U50</f>
        <v>91126.45</v>
      </c>
      <c r="V56" s="159">
        <f>V7+V13+V46+V50</f>
        <v>334972.74000000005</v>
      </c>
      <c r="W56" s="159">
        <f>W7+W13+W46+W50</f>
        <v>33</v>
      </c>
      <c r="X56" s="159">
        <f>X7+X13+X46+X50</f>
        <v>519605</v>
      </c>
      <c r="Y56" s="159">
        <f t="shared" si="34"/>
        <v>1742761.18</v>
      </c>
      <c r="Z56" s="159">
        <f>Z7+Z13+Z46+Z50</f>
        <v>88746.45</v>
      </c>
      <c r="AA56" s="159">
        <f>AA7+AA13+AA46+AA50</f>
        <v>1202203.93</v>
      </c>
      <c r="AB56" s="159">
        <f>AB7+AB13+AB46+AB50</f>
        <v>-6919.22</v>
      </c>
      <c r="AC56" s="159">
        <f>AC7+AC13+AC46+AC50</f>
        <v>458730.02</v>
      </c>
      <c r="AD56" s="159">
        <f t="shared" si="35"/>
        <v>846949.00000000012</v>
      </c>
      <c r="AE56" s="159">
        <f>AE7+AE13+AE46+AE50</f>
        <v>55236.05</v>
      </c>
      <c r="AF56" s="159">
        <f>AF7+AF13+AF46+AF50</f>
        <v>553894.1100000001</v>
      </c>
      <c r="AG56" s="159">
        <f t="shared" ref="AG56:AH56" si="128">AG7+AG13+AG46+AG50</f>
        <v>104</v>
      </c>
      <c r="AH56" s="159">
        <f t="shared" si="128"/>
        <v>237714.84</v>
      </c>
      <c r="AI56" s="159">
        <f t="shared" si="36"/>
        <v>632045.55000000005</v>
      </c>
      <c r="AJ56" s="159">
        <f>AJ7+AJ13+AJ46+AJ50</f>
        <v>77949.62999999999</v>
      </c>
      <c r="AK56" s="159">
        <f>AK7+AK13+AK46+AK50</f>
        <v>233946.07</v>
      </c>
      <c r="AL56" s="159">
        <f>AL7+AL13+AL46+AL50</f>
        <v>179.89</v>
      </c>
      <c r="AM56" s="159">
        <f>AM7+AM13+AM46+AM50</f>
        <v>319969.95999999996</v>
      </c>
      <c r="AN56" s="159">
        <f t="shared" si="37"/>
        <v>4926485.620000001</v>
      </c>
      <c r="AO56" s="159">
        <f>AO7+AO13+AO46+AO50</f>
        <v>59076.910000000025</v>
      </c>
      <c r="AP56" s="159">
        <f>AP7+AP13+AP46+AP50</f>
        <v>4548577.3400000008</v>
      </c>
      <c r="AQ56" s="159">
        <f>AQ7+AQ13+AQ46+AQ50</f>
        <v>-6790.26</v>
      </c>
      <c r="AR56" s="159">
        <f>AR7+AR13+AR46+AR50</f>
        <v>325621.63</v>
      </c>
      <c r="AS56" s="159">
        <f t="shared" si="38"/>
        <v>808110.39999999991</v>
      </c>
      <c r="AT56" s="159">
        <f>AT7+AT13+AT46+AT50</f>
        <v>178.92000000000007</v>
      </c>
      <c r="AU56" s="159">
        <f>AU7+AU13+AU46+AU50</f>
        <v>496221.33</v>
      </c>
      <c r="AV56" s="159">
        <f>AV7+AV13+AV46+AV50</f>
        <v>236</v>
      </c>
      <c r="AW56" s="159">
        <f>AW7+AW13+AW46+AW50</f>
        <v>311474.14999999997</v>
      </c>
      <c r="AX56" s="159">
        <f t="shared" si="39"/>
        <v>804720.31000000041</v>
      </c>
      <c r="AY56" s="159">
        <f>AY7+AY13+AY46+AY50</f>
        <v>178.91999999999985</v>
      </c>
      <c r="AZ56" s="159">
        <f>AZ7+AZ13+AZ46+AZ50</f>
        <v>580538.9300000004</v>
      </c>
      <c r="BA56" s="159">
        <f>BA7+BA13+BA46+BA50</f>
        <v>201</v>
      </c>
      <c r="BB56" s="159">
        <f>BB7+BB13+BB46+BB50</f>
        <v>223801.46</v>
      </c>
      <c r="BC56" s="159">
        <f t="shared" si="40"/>
        <v>2381324.0999999992</v>
      </c>
      <c r="BD56" s="159">
        <f>BD7+BD13+BD46+BD50</f>
        <v>178.92000000000007</v>
      </c>
      <c r="BE56" s="159">
        <f>BE7+BE13+BE46+BE50</f>
        <v>2156186.8599999994</v>
      </c>
      <c r="BF56" s="159">
        <f>BF7+BF13+BF46+BF50</f>
        <v>-2415.9100000000012</v>
      </c>
      <c r="BG56" s="159">
        <f>BG7+BG13+BG46+BG50</f>
        <v>227374.22999999998</v>
      </c>
      <c r="BH56" s="159">
        <f t="shared" si="41"/>
        <v>76083.800000000061</v>
      </c>
      <c r="BI56" s="159">
        <f>BI7+BI13+BI46+BI50</f>
        <v>178.92000000000007</v>
      </c>
      <c r="BJ56" s="159">
        <f>BJ7+BJ13+BJ46+BJ50</f>
        <v>-120767.58999999994</v>
      </c>
      <c r="BK56" s="159">
        <f>BK7+BK13+BK46+BK50</f>
        <v>25</v>
      </c>
      <c r="BL56" s="159">
        <f>BL7+BL13+BL46+BL50</f>
        <v>196647.47</v>
      </c>
      <c r="BM56" s="159">
        <f t="shared" si="42"/>
        <v>301311.12999999983</v>
      </c>
      <c r="BN56" s="159">
        <f>BN7+BN13+BN46+BN50</f>
        <v>178.91999999999985</v>
      </c>
      <c r="BO56" s="159">
        <f>BO7+BO13+BO46+BO50</f>
        <v>158968.10999999981</v>
      </c>
      <c r="BP56" s="159">
        <f>BP7+BP13+BP46+BP50</f>
        <v>14</v>
      </c>
      <c r="BQ56" s="159">
        <f>BQ7+BQ13+BQ46+BQ50</f>
        <v>142150.1</v>
      </c>
      <c r="BR56" s="159">
        <f t="shared" si="43"/>
        <v>542750.64000000036</v>
      </c>
      <c r="BS56" s="159">
        <f>BS7+BS13+BS46+BS50</f>
        <v>178.88000000000011</v>
      </c>
      <c r="BT56" s="159">
        <f>BT7+BT13+BT46+BT50</f>
        <v>459311.66000000038</v>
      </c>
      <c r="BU56" s="159">
        <f>BU7+BU13+BU46+BU50</f>
        <v>-1534.4799999999996</v>
      </c>
      <c r="BV56" s="159">
        <f>BV7+BV13+BV46+BV50</f>
        <v>84794.58</v>
      </c>
    </row>
    <row r="57" spans="1:74" s="145" customFormat="1">
      <c r="A57" s="170"/>
      <c r="B57" s="171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2"/>
      <c r="AT57" s="172"/>
      <c r="AU57" s="172"/>
      <c r="AV57" s="172"/>
      <c r="AW57" s="172"/>
      <c r="AX57" s="172"/>
      <c r="AY57" s="172"/>
      <c r="AZ57" s="172"/>
      <c r="BA57" s="172"/>
      <c r="BB57" s="172"/>
      <c r="BC57" s="172"/>
      <c r="BD57" s="172"/>
      <c r="BE57" s="172"/>
      <c r="BF57" s="172"/>
      <c r="BG57" s="172"/>
      <c r="BH57" s="172"/>
      <c r="BI57" s="172"/>
      <c r="BJ57" s="172"/>
      <c r="BK57" s="172"/>
      <c r="BL57" s="172"/>
      <c r="BM57" s="172"/>
      <c r="BN57" s="172"/>
      <c r="BO57" s="172"/>
      <c r="BP57" s="172"/>
      <c r="BQ57" s="172"/>
      <c r="BR57" s="172"/>
      <c r="BS57" s="172"/>
      <c r="BT57" s="172"/>
      <c r="BU57" s="172"/>
      <c r="BV57" s="172"/>
    </row>
    <row r="58" spans="1:74" s="144" customFormat="1">
      <c r="A58" s="173"/>
      <c r="O58" s="173"/>
      <c r="P58" s="187"/>
      <c r="Q58" s="187"/>
      <c r="R58" s="187"/>
      <c r="S58" s="173"/>
      <c r="T58" s="173"/>
      <c r="U58" s="187"/>
      <c r="V58" s="187"/>
      <c r="W58" s="187"/>
      <c r="X58" s="173"/>
      <c r="Y58" s="173"/>
      <c r="Z58" s="187"/>
      <c r="AA58" s="187"/>
      <c r="AB58" s="187"/>
      <c r="AC58" s="173"/>
      <c r="AD58" s="173"/>
      <c r="AE58" s="187"/>
      <c r="AF58" s="187"/>
      <c r="AG58" s="187"/>
      <c r="AH58" s="173"/>
      <c r="AI58" s="173"/>
      <c r="AJ58" s="187"/>
      <c r="AK58" s="187"/>
      <c r="AL58" s="187"/>
      <c r="AM58" s="173"/>
      <c r="AN58" s="173"/>
      <c r="AO58" s="187"/>
      <c r="AP58" s="187"/>
      <c r="AQ58" s="187"/>
      <c r="AR58" s="173"/>
      <c r="AS58" s="173"/>
      <c r="AT58" s="187"/>
      <c r="AU58" s="187"/>
      <c r="AV58" s="187"/>
      <c r="AW58" s="173"/>
      <c r="AX58" s="173"/>
      <c r="AY58" s="187"/>
      <c r="AZ58" s="187"/>
      <c r="BA58" s="187"/>
      <c r="BB58" s="173"/>
      <c r="BC58" s="173"/>
      <c r="BD58" s="187"/>
      <c r="BE58" s="187"/>
      <c r="BF58" s="187"/>
      <c r="BG58" s="173"/>
      <c r="BH58" s="173"/>
      <c r="BI58" s="187"/>
      <c r="BJ58" s="187"/>
      <c r="BK58" s="187"/>
      <c r="BL58" s="173"/>
      <c r="BM58" s="173"/>
      <c r="BN58" s="187"/>
      <c r="BO58" s="187"/>
      <c r="BP58" s="187"/>
      <c r="BQ58" s="173"/>
      <c r="BR58" s="173"/>
      <c r="BS58" s="187"/>
      <c r="BT58" s="187"/>
      <c r="BU58" s="187"/>
      <c r="BV58" s="173"/>
    </row>
    <row r="59" spans="1:74" s="144" customFormat="1" ht="13.5" customHeight="1">
      <c r="A59" s="173"/>
      <c r="B59" s="174" t="s">
        <v>141</v>
      </c>
      <c r="C59" s="175">
        <f>C7-SUM(C8:C12)</f>
        <v>0</v>
      </c>
      <c r="D59" s="175">
        <f>SUM(J59:BV59)</f>
        <v>0</v>
      </c>
      <c r="E59" s="175"/>
      <c r="F59" s="175"/>
      <c r="G59" s="175"/>
      <c r="H59" s="175"/>
      <c r="I59" s="175"/>
      <c r="J59" s="175">
        <f t="shared" ref="J59:BU59" si="129">J7-SUM(J8:J12)</f>
        <v>0</v>
      </c>
      <c r="K59" s="175">
        <f t="shared" si="129"/>
        <v>0</v>
      </c>
      <c r="L59" s="175">
        <f t="shared" si="129"/>
        <v>0</v>
      </c>
      <c r="M59" s="175">
        <f t="shared" si="129"/>
        <v>0</v>
      </c>
      <c r="N59" s="175">
        <f t="shared" si="129"/>
        <v>0</v>
      </c>
      <c r="O59" s="175">
        <f t="shared" si="129"/>
        <v>0</v>
      </c>
      <c r="P59" s="175">
        <f t="shared" si="129"/>
        <v>0</v>
      </c>
      <c r="Q59" s="175">
        <f t="shared" si="129"/>
        <v>0</v>
      </c>
      <c r="R59" s="175">
        <f t="shared" si="129"/>
        <v>0</v>
      </c>
      <c r="S59" s="175">
        <f t="shared" si="129"/>
        <v>0</v>
      </c>
      <c r="T59" s="175">
        <f t="shared" si="129"/>
        <v>0</v>
      </c>
      <c r="U59" s="175">
        <f t="shared" si="129"/>
        <v>0</v>
      </c>
      <c r="V59" s="175">
        <f t="shared" si="129"/>
        <v>0</v>
      </c>
      <c r="W59" s="175">
        <f t="shared" si="129"/>
        <v>0</v>
      </c>
      <c r="X59" s="175">
        <f t="shared" si="129"/>
        <v>0</v>
      </c>
      <c r="Y59" s="175">
        <f t="shared" si="129"/>
        <v>0</v>
      </c>
      <c r="Z59" s="175">
        <f t="shared" si="129"/>
        <v>0</v>
      </c>
      <c r="AA59" s="175">
        <f t="shared" si="129"/>
        <v>0</v>
      </c>
      <c r="AB59" s="175">
        <f t="shared" si="129"/>
        <v>0</v>
      </c>
      <c r="AC59" s="175">
        <f t="shared" si="129"/>
        <v>0</v>
      </c>
      <c r="AD59" s="175">
        <f t="shared" si="129"/>
        <v>0</v>
      </c>
      <c r="AE59" s="175">
        <f t="shared" si="129"/>
        <v>0</v>
      </c>
      <c r="AF59" s="175">
        <f t="shared" si="129"/>
        <v>0</v>
      </c>
      <c r="AG59" s="175">
        <f t="shared" si="129"/>
        <v>0</v>
      </c>
      <c r="AH59" s="175">
        <f t="shared" si="129"/>
        <v>0</v>
      </c>
      <c r="AI59" s="175">
        <f t="shared" si="129"/>
        <v>0</v>
      </c>
      <c r="AJ59" s="175">
        <f t="shared" si="129"/>
        <v>0</v>
      </c>
      <c r="AK59" s="175">
        <f t="shared" si="129"/>
        <v>0</v>
      </c>
      <c r="AL59" s="175">
        <f t="shared" si="129"/>
        <v>0</v>
      </c>
      <c r="AM59" s="175">
        <f t="shared" si="129"/>
        <v>0</v>
      </c>
      <c r="AN59" s="175">
        <f t="shared" si="129"/>
        <v>0</v>
      </c>
      <c r="AO59" s="175">
        <f t="shared" si="129"/>
        <v>0</v>
      </c>
      <c r="AP59" s="175">
        <f t="shared" si="129"/>
        <v>0</v>
      </c>
      <c r="AQ59" s="175">
        <f t="shared" si="129"/>
        <v>0</v>
      </c>
      <c r="AR59" s="175">
        <f t="shared" si="129"/>
        <v>0</v>
      </c>
      <c r="AS59" s="175">
        <f t="shared" si="129"/>
        <v>0</v>
      </c>
      <c r="AT59" s="175">
        <f t="shared" si="129"/>
        <v>0</v>
      </c>
      <c r="AU59" s="175">
        <f t="shared" si="129"/>
        <v>0</v>
      </c>
      <c r="AV59" s="175">
        <f t="shared" si="129"/>
        <v>0</v>
      </c>
      <c r="AW59" s="175">
        <f t="shared" si="129"/>
        <v>0</v>
      </c>
      <c r="AX59" s="175">
        <f t="shared" si="129"/>
        <v>0</v>
      </c>
      <c r="AY59" s="175">
        <f t="shared" si="129"/>
        <v>0</v>
      </c>
      <c r="AZ59" s="175">
        <f t="shared" si="129"/>
        <v>0</v>
      </c>
      <c r="BA59" s="175">
        <f t="shared" si="129"/>
        <v>0</v>
      </c>
      <c r="BB59" s="175">
        <f t="shared" si="129"/>
        <v>0</v>
      </c>
      <c r="BC59" s="175">
        <f t="shared" si="129"/>
        <v>0</v>
      </c>
      <c r="BD59" s="175">
        <f t="shared" si="129"/>
        <v>0</v>
      </c>
      <c r="BE59" s="175">
        <f t="shared" si="129"/>
        <v>0</v>
      </c>
      <c r="BF59" s="175">
        <f t="shared" si="129"/>
        <v>0</v>
      </c>
      <c r="BG59" s="175">
        <f t="shared" si="129"/>
        <v>0</v>
      </c>
      <c r="BH59" s="175">
        <f t="shared" si="129"/>
        <v>0</v>
      </c>
      <c r="BI59" s="175">
        <f t="shared" si="129"/>
        <v>0</v>
      </c>
      <c r="BJ59" s="175">
        <f t="shared" si="129"/>
        <v>0</v>
      </c>
      <c r="BK59" s="175">
        <f t="shared" si="129"/>
        <v>0</v>
      </c>
      <c r="BL59" s="175">
        <f t="shared" si="129"/>
        <v>0</v>
      </c>
      <c r="BM59" s="175">
        <f t="shared" si="129"/>
        <v>0</v>
      </c>
      <c r="BN59" s="175">
        <f t="shared" si="129"/>
        <v>0</v>
      </c>
      <c r="BO59" s="175">
        <f t="shared" si="129"/>
        <v>0</v>
      </c>
      <c r="BP59" s="175">
        <f t="shared" si="129"/>
        <v>0</v>
      </c>
      <c r="BQ59" s="175">
        <f t="shared" si="129"/>
        <v>0</v>
      </c>
      <c r="BR59" s="175">
        <f t="shared" si="129"/>
        <v>0</v>
      </c>
      <c r="BS59" s="175">
        <f t="shared" si="129"/>
        <v>0</v>
      </c>
      <c r="BT59" s="175">
        <f t="shared" si="129"/>
        <v>0</v>
      </c>
      <c r="BU59" s="175">
        <f t="shared" si="129"/>
        <v>0</v>
      </c>
      <c r="BV59" s="175">
        <f t="shared" ref="BV59" si="130">BV7-SUM(BV8:BV12)</f>
        <v>0</v>
      </c>
    </row>
    <row r="60" spans="1:74" s="144" customFormat="1" ht="13.5" customHeight="1">
      <c r="A60" s="173"/>
      <c r="B60" s="174" t="s">
        <v>142</v>
      </c>
      <c r="C60" s="175">
        <f>C13-SUM(C14:C45)</f>
        <v>0</v>
      </c>
      <c r="D60" s="175">
        <f t="shared" ref="D60:D67" si="131">SUM(J60:BV60)</f>
        <v>0</v>
      </c>
      <c r="E60" s="175"/>
      <c r="F60" s="175"/>
      <c r="G60" s="175"/>
      <c r="H60" s="175"/>
      <c r="I60" s="175"/>
      <c r="J60" s="175">
        <f t="shared" ref="J60:BU60" si="132">J13-SUM(J14:J45)</f>
        <v>0</v>
      </c>
      <c r="K60" s="175">
        <f t="shared" si="132"/>
        <v>0</v>
      </c>
      <c r="L60" s="175">
        <f t="shared" si="132"/>
        <v>0</v>
      </c>
      <c r="M60" s="175">
        <f t="shared" si="132"/>
        <v>0</v>
      </c>
      <c r="N60" s="175">
        <f t="shared" si="132"/>
        <v>0</v>
      </c>
      <c r="O60" s="175">
        <f t="shared" si="132"/>
        <v>0</v>
      </c>
      <c r="P60" s="175">
        <f t="shared" si="132"/>
        <v>0</v>
      </c>
      <c r="Q60" s="175">
        <f t="shared" si="132"/>
        <v>0</v>
      </c>
      <c r="R60" s="175">
        <f t="shared" si="132"/>
        <v>0</v>
      </c>
      <c r="S60" s="175">
        <f t="shared" si="132"/>
        <v>0</v>
      </c>
      <c r="T60" s="175">
        <f t="shared" si="132"/>
        <v>0</v>
      </c>
      <c r="U60" s="175">
        <f t="shared" si="132"/>
        <v>0</v>
      </c>
      <c r="V60" s="175">
        <f t="shared" si="132"/>
        <v>0</v>
      </c>
      <c r="W60" s="175">
        <f t="shared" si="132"/>
        <v>0</v>
      </c>
      <c r="X60" s="175">
        <f t="shared" si="132"/>
        <v>0</v>
      </c>
      <c r="Y60" s="175">
        <f t="shared" si="132"/>
        <v>0</v>
      </c>
      <c r="Z60" s="175">
        <f t="shared" si="132"/>
        <v>0</v>
      </c>
      <c r="AA60" s="175">
        <f t="shared" si="132"/>
        <v>0</v>
      </c>
      <c r="AB60" s="175">
        <f t="shared" si="132"/>
        <v>0</v>
      </c>
      <c r="AC60" s="175">
        <f t="shared" si="132"/>
        <v>0</v>
      </c>
      <c r="AD60" s="175">
        <f t="shared" si="132"/>
        <v>0</v>
      </c>
      <c r="AE60" s="175">
        <f t="shared" si="132"/>
        <v>0</v>
      </c>
      <c r="AF60" s="175">
        <f t="shared" si="132"/>
        <v>0</v>
      </c>
      <c r="AG60" s="175">
        <f t="shared" si="132"/>
        <v>0</v>
      </c>
      <c r="AH60" s="175">
        <f t="shared" si="132"/>
        <v>0</v>
      </c>
      <c r="AI60" s="175">
        <f t="shared" si="132"/>
        <v>0</v>
      </c>
      <c r="AJ60" s="175">
        <f t="shared" si="132"/>
        <v>0</v>
      </c>
      <c r="AK60" s="175">
        <f t="shared" si="132"/>
        <v>0</v>
      </c>
      <c r="AL60" s="175">
        <f t="shared" si="132"/>
        <v>0</v>
      </c>
      <c r="AM60" s="175">
        <f t="shared" si="132"/>
        <v>0</v>
      </c>
      <c r="AN60" s="175">
        <f t="shared" si="132"/>
        <v>0</v>
      </c>
      <c r="AO60" s="175">
        <f t="shared" si="132"/>
        <v>0</v>
      </c>
      <c r="AP60" s="175">
        <f t="shared" si="132"/>
        <v>0</v>
      </c>
      <c r="AQ60" s="175">
        <f t="shared" si="132"/>
        <v>0</v>
      </c>
      <c r="AR60" s="175">
        <f t="shared" si="132"/>
        <v>0</v>
      </c>
      <c r="AS60" s="175">
        <f t="shared" si="132"/>
        <v>0</v>
      </c>
      <c r="AT60" s="175">
        <f t="shared" si="132"/>
        <v>0</v>
      </c>
      <c r="AU60" s="175">
        <f t="shared" si="132"/>
        <v>0</v>
      </c>
      <c r="AV60" s="175">
        <f t="shared" si="132"/>
        <v>0</v>
      </c>
      <c r="AW60" s="175">
        <f t="shared" si="132"/>
        <v>0</v>
      </c>
      <c r="AX60" s="175">
        <f t="shared" si="132"/>
        <v>0</v>
      </c>
      <c r="AY60" s="175">
        <f t="shared" si="132"/>
        <v>0</v>
      </c>
      <c r="AZ60" s="175">
        <f t="shared" si="132"/>
        <v>0</v>
      </c>
      <c r="BA60" s="175">
        <f t="shared" si="132"/>
        <v>0</v>
      </c>
      <c r="BB60" s="175">
        <f t="shared" si="132"/>
        <v>0</v>
      </c>
      <c r="BC60" s="175">
        <f t="shared" si="132"/>
        <v>0</v>
      </c>
      <c r="BD60" s="175">
        <f t="shared" si="132"/>
        <v>0</v>
      </c>
      <c r="BE60" s="175">
        <f t="shared" si="132"/>
        <v>0</v>
      </c>
      <c r="BF60" s="175">
        <f t="shared" si="132"/>
        <v>0</v>
      </c>
      <c r="BG60" s="175">
        <f t="shared" si="132"/>
        <v>0</v>
      </c>
      <c r="BH60" s="175">
        <f t="shared" si="132"/>
        <v>0</v>
      </c>
      <c r="BI60" s="175">
        <f t="shared" si="132"/>
        <v>0</v>
      </c>
      <c r="BJ60" s="175">
        <f t="shared" si="132"/>
        <v>0</v>
      </c>
      <c r="BK60" s="175">
        <f t="shared" si="132"/>
        <v>0</v>
      </c>
      <c r="BL60" s="175">
        <f t="shared" si="132"/>
        <v>0</v>
      </c>
      <c r="BM60" s="175">
        <f t="shared" si="132"/>
        <v>0</v>
      </c>
      <c r="BN60" s="175">
        <f t="shared" si="132"/>
        <v>0</v>
      </c>
      <c r="BO60" s="175">
        <f t="shared" si="132"/>
        <v>0</v>
      </c>
      <c r="BP60" s="175">
        <f t="shared" si="132"/>
        <v>0</v>
      </c>
      <c r="BQ60" s="175">
        <f t="shared" si="132"/>
        <v>0</v>
      </c>
      <c r="BR60" s="175">
        <f t="shared" si="132"/>
        <v>0</v>
      </c>
      <c r="BS60" s="175">
        <f t="shared" si="132"/>
        <v>0</v>
      </c>
      <c r="BT60" s="175">
        <f t="shared" si="132"/>
        <v>0</v>
      </c>
      <c r="BU60" s="175">
        <f t="shared" si="132"/>
        <v>0</v>
      </c>
      <c r="BV60" s="175">
        <f t="shared" ref="BV60" si="133">BV13-SUM(BV14:BV45)</f>
        <v>0</v>
      </c>
    </row>
    <row r="61" spans="1:74" s="144" customFormat="1" ht="13.5" customHeight="1">
      <c r="A61" s="173"/>
      <c r="B61" s="176" t="s">
        <v>143</v>
      </c>
      <c r="C61" s="175">
        <f>C46-SUM(C47:C49)</f>
        <v>0</v>
      </c>
      <c r="D61" s="175">
        <f t="shared" si="131"/>
        <v>0</v>
      </c>
      <c r="E61" s="175"/>
      <c r="F61" s="175"/>
      <c r="G61" s="175"/>
      <c r="H61" s="175"/>
      <c r="I61" s="175"/>
      <c r="J61" s="175">
        <f t="shared" ref="J61:BU61" si="134">J46-SUM(J47:J49)</f>
        <v>0</v>
      </c>
      <c r="K61" s="175">
        <f t="shared" si="134"/>
        <v>0</v>
      </c>
      <c r="L61" s="175">
        <f t="shared" si="134"/>
        <v>0</v>
      </c>
      <c r="M61" s="175">
        <f t="shared" si="134"/>
        <v>0</v>
      </c>
      <c r="N61" s="175">
        <f t="shared" si="134"/>
        <v>0</v>
      </c>
      <c r="O61" s="175">
        <f t="shared" si="134"/>
        <v>0</v>
      </c>
      <c r="P61" s="175">
        <f t="shared" si="134"/>
        <v>0</v>
      </c>
      <c r="Q61" s="175">
        <f t="shared" si="134"/>
        <v>0</v>
      </c>
      <c r="R61" s="175">
        <f t="shared" si="134"/>
        <v>0</v>
      </c>
      <c r="S61" s="175">
        <f t="shared" si="134"/>
        <v>0</v>
      </c>
      <c r="T61" s="175">
        <f t="shared" si="134"/>
        <v>0</v>
      </c>
      <c r="U61" s="175">
        <f t="shared" si="134"/>
        <v>0</v>
      </c>
      <c r="V61" s="175">
        <f t="shared" si="134"/>
        <v>0</v>
      </c>
      <c r="W61" s="175">
        <f t="shared" si="134"/>
        <v>0</v>
      </c>
      <c r="X61" s="175">
        <f t="shared" si="134"/>
        <v>0</v>
      </c>
      <c r="Y61" s="175">
        <f t="shared" si="134"/>
        <v>0</v>
      </c>
      <c r="Z61" s="175">
        <f t="shared" si="134"/>
        <v>0</v>
      </c>
      <c r="AA61" s="175">
        <f t="shared" si="134"/>
        <v>0</v>
      </c>
      <c r="AB61" s="175">
        <f t="shared" si="134"/>
        <v>0</v>
      </c>
      <c r="AC61" s="175">
        <f t="shared" si="134"/>
        <v>0</v>
      </c>
      <c r="AD61" s="175">
        <f t="shared" si="134"/>
        <v>0</v>
      </c>
      <c r="AE61" s="175">
        <f t="shared" si="134"/>
        <v>0</v>
      </c>
      <c r="AF61" s="175">
        <f t="shared" si="134"/>
        <v>0</v>
      </c>
      <c r="AG61" s="175">
        <f t="shared" si="134"/>
        <v>0</v>
      </c>
      <c r="AH61" s="175">
        <f t="shared" si="134"/>
        <v>0</v>
      </c>
      <c r="AI61" s="175">
        <f t="shared" si="134"/>
        <v>0</v>
      </c>
      <c r="AJ61" s="175">
        <f t="shared" si="134"/>
        <v>0</v>
      </c>
      <c r="AK61" s="175">
        <f t="shared" si="134"/>
        <v>0</v>
      </c>
      <c r="AL61" s="175">
        <f t="shared" si="134"/>
        <v>0</v>
      </c>
      <c r="AM61" s="175">
        <f t="shared" si="134"/>
        <v>0</v>
      </c>
      <c r="AN61" s="175">
        <f t="shared" si="134"/>
        <v>0</v>
      </c>
      <c r="AO61" s="175">
        <f t="shared" si="134"/>
        <v>0</v>
      </c>
      <c r="AP61" s="175">
        <f t="shared" si="134"/>
        <v>0</v>
      </c>
      <c r="AQ61" s="175">
        <f t="shared" si="134"/>
        <v>0</v>
      </c>
      <c r="AR61" s="175">
        <f t="shared" si="134"/>
        <v>0</v>
      </c>
      <c r="AS61" s="175">
        <f t="shared" si="134"/>
        <v>0</v>
      </c>
      <c r="AT61" s="175">
        <f t="shared" si="134"/>
        <v>0</v>
      </c>
      <c r="AU61" s="175">
        <f t="shared" si="134"/>
        <v>0</v>
      </c>
      <c r="AV61" s="175">
        <f t="shared" si="134"/>
        <v>0</v>
      </c>
      <c r="AW61" s="175">
        <f t="shared" si="134"/>
        <v>0</v>
      </c>
      <c r="AX61" s="175">
        <f t="shared" si="134"/>
        <v>0</v>
      </c>
      <c r="AY61" s="175">
        <f t="shared" si="134"/>
        <v>0</v>
      </c>
      <c r="AZ61" s="175">
        <f t="shared" si="134"/>
        <v>0</v>
      </c>
      <c r="BA61" s="175">
        <f t="shared" si="134"/>
        <v>0</v>
      </c>
      <c r="BB61" s="175">
        <f t="shared" si="134"/>
        <v>0</v>
      </c>
      <c r="BC61" s="175">
        <f t="shared" si="134"/>
        <v>0</v>
      </c>
      <c r="BD61" s="175">
        <f t="shared" si="134"/>
        <v>0</v>
      </c>
      <c r="BE61" s="175">
        <f t="shared" si="134"/>
        <v>0</v>
      </c>
      <c r="BF61" s="175">
        <f t="shared" si="134"/>
        <v>0</v>
      </c>
      <c r="BG61" s="175">
        <f t="shared" si="134"/>
        <v>0</v>
      </c>
      <c r="BH61" s="175">
        <f t="shared" si="134"/>
        <v>0</v>
      </c>
      <c r="BI61" s="175">
        <f t="shared" si="134"/>
        <v>0</v>
      </c>
      <c r="BJ61" s="175">
        <f t="shared" si="134"/>
        <v>0</v>
      </c>
      <c r="BK61" s="175">
        <f t="shared" si="134"/>
        <v>0</v>
      </c>
      <c r="BL61" s="175">
        <f t="shared" si="134"/>
        <v>0</v>
      </c>
      <c r="BM61" s="175">
        <f t="shared" si="134"/>
        <v>0</v>
      </c>
      <c r="BN61" s="175">
        <f t="shared" si="134"/>
        <v>0</v>
      </c>
      <c r="BO61" s="175">
        <f t="shared" si="134"/>
        <v>0</v>
      </c>
      <c r="BP61" s="175">
        <f t="shared" si="134"/>
        <v>0</v>
      </c>
      <c r="BQ61" s="175">
        <f t="shared" si="134"/>
        <v>0</v>
      </c>
      <c r="BR61" s="175">
        <f t="shared" si="134"/>
        <v>0</v>
      </c>
      <c r="BS61" s="175">
        <f t="shared" si="134"/>
        <v>0</v>
      </c>
      <c r="BT61" s="175">
        <f t="shared" si="134"/>
        <v>0</v>
      </c>
      <c r="BU61" s="175">
        <f t="shared" si="134"/>
        <v>0</v>
      </c>
      <c r="BV61" s="175">
        <f t="shared" ref="BV61" si="135">BV46-SUM(BV47:BV49)</f>
        <v>0</v>
      </c>
    </row>
    <row r="62" spans="1:74" s="144" customFormat="1" ht="13.5" customHeight="1">
      <c r="A62" s="173"/>
      <c r="B62" s="176" t="s">
        <v>144</v>
      </c>
      <c r="C62" s="175">
        <f>C50-SUM(C51:C55)</f>
        <v>0</v>
      </c>
      <c r="D62" s="175">
        <f t="shared" si="131"/>
        <v>0</v>
      </c>
      <c r="E62" s="175"/>
      <c r="F62" s="175"/>
      <c r="G62" s="175"/>
      <c r="H62" s="175"/>
      <c r="I62" s="175"/>
      <c r="J62" s="175">
        <f t="shared" ref="J62:BU62" si="136">J50-SUM(J51:J55)</f>
        <v>0</v>
      </c>
      <c r="K62" s="175">
        <f t="shared" si="136"/>
        <v>0</v>
      </c>
      <c r="L62" s="175">
        <f t="shared" si="136"/>
        <v>0</v>
      </c>
      <c r="M62" s="175">
        <f t="shared" si="136"/>
        <v>0</v>
      </c>
      <c r="N62" s="175">
        <f t="shared" si="136"/>
        <v>0</v>
      </c>
      <c r="O62" s="175">
        <f t="shared" si="136"/>
        <v>0</v>
      </c>
      <c r="P62" s="175">
        <f t="shared" si="136"/>
        <v>0</v>
      </c>
      <c r="Q62" s="175">
        <f t="shared" si="136"/>
        <v>0</v>
      </c>
      <c r="R62" s="175">
        <f t="shared" si="136"/>
        <v>0</v>
      </c>
      <c r="S62" s="175">
        <f t="shared" si="136"/>
        <v>0</v>
      </c>
      <c r="T62" s="175">
        <f t="shared" si="136"/>
        <v>0</v>
      </c>
      <c r="U62" s="175">
        <f t="shared" si="136"/>
        <v>0</v>
      </c>
      <c r="V62" s="175">
        <f t="shared" si="136"/>
        <v>0</v>
      </c>
      <c r="W62" s="175">
        <f t="shared" si="136"/>
        <v>0</v>
      </c>
      <c r="X62" s="175">
        <f t="shared" si="136"/>
        <v>0</v>
      </c>
      <c r="Y62" s="175">
        <f t="shared" si="136"/>
        <v>0</v>
      </c>
      <c r="Z62" s="175">
        <f t="shared" si="136"/>
        <v>0</v>
      </c>
      <c r="AA62" s="175">
        <f t="shared" si="136"/>
        <v>0</v>
      </c>
      <c r="AB62" s="175">
        <f t="shared" si="136"/>
        <v>0</v>
      </c>
      <c r="AC62" s="175">
        <f t="shared" si="136"/>
        <v>0</v>
      </c>
      <c r="AD62" s="175">
        <f t="shared" si="136"/>
        <v>0</v>
      </c>
      <c r="AE62" s="175">
        <f t="shared" si="136"/>
        <v>0</v>
      </c>
      <c r="AF62" s="175">
        <f t="shared" si="136"/>
        <v>0</v>
      </c>
      <c r="AG62" s="175">
        <f t="shared" si="136"/>
        <v>0</v>
      </c>
      <c r="AH62" s="175">
        <f t="shared" si="136"/>
        <v>0</v>
      </c>
      <c r="AI62" s="175">
        <f t="shared" si="136"/>
        <v>0</v>
      </c>
      <c r="AJ62" s="175">
        <f t="shared" si="136"/>
        <v>0</v>
      </c>
      <c r="AK62" s="175">
        <f t="shared" si="136"/>
        <v>0</v>
      </c>
      <c r="AL62" s="175">
        <f t="shared" si="136"/>
        <v>0</v>
      </c>
      <c r="AM62" s="175">
        <f t="shared" si="136"/>
        <v>0</v>
      </c>
      <c r="AN62" s="175">
        <f t="shared" si="136"/>
        <v>0</v>
      </c>
      <c r="AO62" s="175">
        <f t="shared" si="136"/>
        <v>0</v>
      </c>
      <c r="AP62" s="175">
        <f t="shared" si="136"/>
        <v>0</v>
      </c>
      <c r="AQ62" s="175">
        <f t="shared" si="136"/>
        <v>0</v>
      </c>
      <c r="AR62" s="175">
        <f t="shared" si="136"/>
        <v>0</v>
      </c>
      <c r="AS62" s="175">
        <f t="shared" si="136"/>
        <v>0</v>
      </c>
      <c r="AT62" s="175">
        <f t="shared" si="136"/>
        <v>0</v>
      </c>
      <c r="AU62" s="175">
        <f t="shared" si="136"/>
        <v>0</v>
      </c>
      <c r="AV62" s="175">
        <f t="shared" si="136"/>
        <v>0</v>
      </c>
      <c r="AW62" s="175">
        <f t="shared" si="136"/>
        <v>0</v>
      </c>
      <c r="AX62" s="175">
        <f t="shared" si="136"/>
        <v>0</v>
      </c>
      <c r="AY62" s="175">
        <f t="shared" si="136"/>
        <v>0</v>
      </c>
      <c r="AZ62" s="175">
        <f t="shared" si="136"/>
        <v>0</v>
      </c>
      <c r="BA62" s="175">
        <f t="shared" si="136"/>
        <v>0</v>
      </c>
      <c r="BB62" s="175">
        <f t="shared" si="136"/>
        <v>0</v>
      </c>
      <c r="BC62" s="175">
        <f t="shared" si="136"/>
        <v>0</v>
      </c>
      <c r="BD62" s="175">
        <f t="shared" si="136"/>
        <v>0</v>
      </c>
      <c r="BE62" s="175">
        <f t="shared" si="136"/>
        <v>0</v>
      </c>
      <c r="BF62" s="175">
        <f t="shared" si="136"/>
        <v>0</v>
      </c>
      <c r="BG62" s="175">
        <f t="shared" si="136"/>
        <v>0</v>
      </c>
      <c r="BH62" s="175">
        <f t="shared" si="136"/>
        <v>0</v>
      </c>
      <c r="BI62" s="175">
        <f t="shared" si="136"/>
        <v>0</v>
      </c>
      <c r="BJ62" s="175">
        <f t="shared" si="136"/>
        <v>0</v>
      </c>
      <c r="BK62" s="175">
        <f t="shared" si="136"/>
        <v>0</v>
      </c>
      <c r="BL62" s="175">
        <f t="shared" si="136"/>
        <v>0</v>
      </c>
      <c r="BM62" s="175">
        <f t="shared" si="136"/>
        <v>0</v>
      </c>
      <c r="BN62" s="175">
        <f t="shared" si="136"/>
        <v>0</v>
      </c>
      <c r="BO62" s="175">
        <f t="shared" si="136"/>
        <v>0</v>
      </c>
      <c r="BP62" s="175">
        <f t="shared" si="136"/>
        <v>0</v>
      </c>
      <c r="BQ62" s="175">
        <f t="shared" si="136"/>
        <v>0</v>
      </c>
      <c r="BR62" s="175">
        <f t="shared" si="136"/>
        <v>0</v>
      </c>
      <c r="BS62" s="175">
        <f t="shared" si="136"/>
        <v>0</v>
      </c>
      <c r="BT62" s="175">
        <f t="shared" si="136"/>
        <v>0</v>
      </c>
      <c r="BU62" s="175">
        <f t="shared" si="136"/>
        <v>0</v>
      </c>
      <c r="BV62" s="175">
        <f t="shared" ref="BV62" si="137">BV50-SUM(BV51:BV55)</f>
        <v>0</v>
      </c>
    </row>
    <row r="63" spans="1:74" s="144" customFormat="1" ht="13.5" customHeight="1">
      <c r="A63" s="173"/>
      <c r="B63" s="177" t="s">
        <v>697</v>
      </c>
      <c r="C63" s="175">
        <f>C56-C7-C13-C46-C50</f>
        <v>0</v>
      </c>
      <c r="D63" s="175">
        <f t="shared" si="131"/>
        <v>0</v>
      </c>
      <c r="E63" s="175"/>
      <c r="F63" s="175"/>
      <c r="G63" s="175"/>
      <c r="H63" s="175"/>
      <c r="I63" s="175"/>
      <c r="J63" s="175">
        <f>ROUND(J56-J7-J13-J46-J50,2)</f>
        <v>0</v>
      </c>
      <c r="K63" s="175">
        <f t="shared" ref="K63:BV63" si="138">ROUND(K56-K7-K13-K46-K50,2)</f>
        <v>0</v>
      </c>
      <c r="L63" s="175">
        <f t="shared" si="138"/>
        <v>0</v>
      </c>
      <c r="M63" s="175">
        <f t="shared" si="138"/>
        <v>0</v>
      </c>
      <c r="N63" s="175">
        <f t="shared" si="138"/>
        <v>0</v>
      </c>
      <c r="O63" s="175">
        <f t="shared" si="138"/>
        <v>0</v>
      </c>
      <c r="P63" s="175">
        <f t="shared" si="138"/>
        <v>0</v>
      </c>
      <c r="Q63" s="175">
        <f t="shared" si="138"/>
        <v>0</v>
      </c>
      <c r="R63" s="175">
        <f t="shared" si="138"/>
        <v>0</v>
      </c>
      <c r="S63" s="175">
        <f t="shared" si="138"/>
        <v>0</v>
      </c>
      <c r="T63" s="175">
        <f t="shared" si="138"/>
        <v>0</v>
      </c>
      <c r="U63" s="175">
        <f t="shared" si="138"/>
        <v>0</v>
      </c>
      <c r="V63" s="175">
        <f t="shared" si="138"/>
        <v>0</v>
      </c>
      <c r="W63" s="175">
        <f t="shared" si="138"/>
        <v>0</v>
      </c>
      <c r="X63" s="175">
        <f t="shared" si="138"/>
        <v>0</v>
      </c>
      <c r="Y63" s="175">
        <f t="shared" si="138"/>
        <v>0</v>
      </c>
      <c r="Z63" s="175">
        <f t="shared" si="138"/>
        <v>0</v>
      </c>
      <c r="AA63" s="175">
        <f t="shared" si="138"/>
        <v>0</v>
      </c>
      <c r="AB63" s="175">
        <f t="shared" si="138"/>
        <v>0</v>
      </c>
      <c r="AC63" s="175">
        <f t="shared" si="138"/>
        <v>0</v>
      </c>
      <c r="AD63" s="175">
        <f t="shared" si="138"/>
        <v>0</v>
      </c>
      <c r="AE63" s="175">
        <f t="shared" si="138"/>
        <v>0</v>
      </c>
      <c r="AF63" s="175">
        <f t="shared" si="138"/>
        <v>0</v>
      </c>
      <c r="AG63" s="175">
        <f t="shared" si="138"/>
        <v>0</v>
      </c>
      <c r="AH63" s="175">
        <f t="shared" si="138"/>
        <v>0</v>
      </c>
      <c r="AI63" s="175">
        <f t="shared" si="138"/>
        <v>0</v>
      </c>
      <c r="AJ63" s="175">
        <f t="shared" si="138"/>
        <v>0</v>
      </c>
      <c r="AK63" s="175">
        <f t="shared" si="138"/>
        <v>0</v>
      </c>
      <c r="AL63" s="175">
        <f t="shared" si="138"/>
        <v>0</v>
      </c>
      <c r="AM63" s="175">
        <f t="shared" si="138"/>
        <v>0</v>
      </c>
      <c r="AN63" s="175">
        <f t="shared" si="138"/>
        <v>0</v>
      </c>
      <c r="AO63" s="175">
        <f t="shared" si="138"/>
        <v>0</v>
      </c>
      <c r="AP63" s="175">
        <f t="shared" si="138"/>
        <v>0</v>
      </c>
      <c r="AQ63" s="175">
        <f t="shared" si="138"/>
        <v>0</v>
      </c>
      <c r="AR63" s="175">
        <f t="shared" si="138"/>
        <v>0</v>
      </c>
      <c r="AS63" s="175">
        <f t="shared" si="138"/>
        <v>0</v>
      </c>
      <c r="AT63" s="175">
        <f t="shared" si="138"/>
        <v>0</v>
      </c>
      <c r="AU63" s="175">
        <f t="shared" si="138"/>
        <v>0</v>
      </c>
      <c r="AV63" s="175">
        <f t="shared" si="138"/>
        <v>0</v>
      </c>
      <c r="AW63" s="175">
        <f t="shared" si="138"/>
        <v>0</v>
      </c>
      <c r="AX63" s="175">
        <f t="shared" si="138"/>
        <v>0</v>
      </c>
      <c r="AY63" s="175">
        <f t="shared" si="138"/>
        <v>0</v>
      </c>
      <c r="AZ63" s="175">
        <f t="shared" si="138"/>
        <v>0</v>
      </c>
      <c r="BA63" s="175">
        <f t="shared" si="138"/>
        <v>0</v>
      </c>
      <c r="BB63" s="175">
        <f t="shared" si="138"/>
        <v>0</v>
      </c>
      <c r="BC63" s="175">
        <f t="shared" si="138"/>
        <v>0</v>
      </c>
      <c r="BD63" s="175">
        <f t="shared" si="138"/>
        <v>0</v>
      </c>
      <c r="BE63" s="175">
        <f t="shared" si="138"/>
        <v>0</v>
      </c>
      <c r="BF63" s="175">
        <f t="shared" si="138"/>
        <v>0</v>
      </c>
      <c r="BG63" s="175">
        <f t="shared" si="138"/>
        <v>0</v>
      </c>
      <c r="BH63" s="175">
        <f t="shared" si="138"/>
        <v>0</v>
      </c>
      <c r="BI63" s="175">
        <f t="shared" si="138"/>
        <v>0</v>
      </c>
      <c r="BJ63" s="175">
        <f t="shared" si="138"/>
        <v>0</v>
      </c>
      <c r="BK63" s="175">
        <f t="shared" si="138"/>
        <v>0</v>
      </c>
      <c r="BL63" s="175">
        <f t="shared" si="138"/>
        <v>0</v>
      </c>
      <c r="BM63" s="175">
        <f t="shared" si="138"/>
        <v>0</v>
      </c>
      <c r="BN63" s="175">
        <f t="shared" si="138"/>
        <v>0</v>
      </c>
      <c r="BO63" s="175">
        <f t="shared" si="138"/>
        <v>0</v>
      </c>
      <c r="BP63" s="175">
        <f t="shared" si="138"/>
        <v>0</v>
      </c>
      <c r="BQ63" s="175">
        <f t="shared" si="138"/>
        <v>0</v>
      </c>
      <c r="BR63" s="175">
        <f t="shared" si="138"/>
        <v>0</v>
      </c>
      <c r="BS63" s="175">
        <f t="shared" si="138"/>
        <v>0</v>
      </c>
      <c r="BT63" s="175">
        <f t="shared" si="138"/>
        <v>0</v>
      </c>
      <c r="BU63" s="175">
        <f t="shared" si="138"/>
        <v>0</v>
      </c>
      <c r="BV63" s="175">
        <f t="shared" si="138"/>
        <v>0</v>
      </c>
    </row>
    <row r="64" spans="1:74" s="144" customFormat="1">
      <c r="A64" s="173"/>
      <c r="B64" s="177" t="s">
        <v>145</v>
      </c>
      <c r="C64" s="175"/>
      <c r="D64" s="175">
        <f t="shared" si="131"/>
        <v>0</v>
      </c>
      <c r="E64" s="175"/>
      <c r="F64" s="175"/>
      <c r="G64" s="175"/>
      <c r="H64" s="175"/>
      <c r="I64" s="175"/>
      <c r="J64" s="175"/>
      <c r="K64" s="175">
        <f>'2 利润表'!E21-K56</f>
        <v>0</v>
      </c>
      <c r="L64" s="175"/>
      <c r="M64" s="175"/>
      <c r="N64" s="175"/>
      <c r="O64" s="175"/>
      <c r="P64" s="175">
        <f>'2 利润表'!F21-P56</f>
        <v>0</v>
      </c>
      <c r="Q64" s="175"/>
      <c r="R64" s="175"/>
      <c r="S64" s="175"/>
      <c r="T64" s="175"/>
      <c r="U64" s="175">
        <f>'2 利润表'!G21-U56</f>
        <v>0</v>
      </c>
      <c r="V64" s="175"/>
      <c r="W64" s="175"/>
      <c r="X64" s="175"/>
      <c r="Y64" s="175"/>
      <c r="Z64" s="175">
        <f>'2 利润表'!H21-Z56</f>
        <v>0</v>
      </c>
      <c r="AA64" s="175"/>
      <c r="AB64" s="175"/>
      <c r="AC64" s="175"/>
      <c r="AD64" s="175"/>
      <c r="AE64" s="175">
        <f>'2 利润表'!I21-AE56</f>
        <v>0</v>
      </c>
      <c r="AF64" s="175"/>
      <c r="AG64" s="175"/>
      <c r="AH64" s="175"/>
      <c r="AI64" s="175"/>
      <c r="AJ64" s="175">
        <f>'2 利润表'!J21-AJ56</f>
        <v>0</v>
      </c>
      <c r="AK64" s="175"/>
      <c r="AL64" s="175"/>
      <c r="AM64" s="175"/>
      <c r="AN64" s="175"/>
      <c r="AO64" s="175">
        <f>'2 利润表'!K21-AO56</f>
        <v>0</v>
      </c>
      <c r="AP64" s="175"/>
      <c r="AQ64" s="175"/>
      <c r="AR64" s="175"/>
      <c r="AS64" s="175"/>
      <c r="AT64" s="175">
        <f>'2 利润表'!L21-AT56</f>
        <v>0</v>
      </c>
      <c r="AU64" s="175"/>
      <c r="AV64" s="175"/>
      <c r="AW64" s="175"/>
      <c r="AX64" s="175"/>
      <c r="AY64" s="175">
        <f>'2 利润表'!M21-AY56</f>
        <v>0</v>
      </c>
      <c r="AZ64" s="175"/>
      <c r="BA64" s="175"/>
      <c r="BB64" s="175"/>
      <c r="BC64" s="175"/>
      <c r="BD64" s="175">
        <f>'2 利润表'!N21-BD56</f>
        <v>0</v>
      </c>
      <c r="BE64" s="175"/>
      <c r="BF64" s="175"/>
      <c r="BG64" s="175"/>
      <c r="BH64" s="175"/>
      <c r="BI64" s="175">
        <f>'2 利润表'!O21-BI56</f>
        <v>0</v>
      </c>
      <c r="BJ64" s="175"/>
      <c r="BK64" s="175"/>
      <c r="BL64" s="175"/>
      <c r="BM64" s="175"/>
      <c r="BN64" s="175">
        <f>'2 利润表'!P21-BN56</f>
        <v>0</v>
      </c>
      <c r="BO64" s="175"/>
      <c r="BP64" s="175"/>
      <c r="BQ64" s="175"/>
      <c r="BR64" s="175"/>
      <c r="BS64" s="175">
        <f>'2 利润表'!Q21-BS56</f>
        <v>0</v>
      </c>
      <c r="BT64" s="175"/>
      <c r="BU64" s="175"/>
      <c r="BV64" s="175"/>
    </row>
    <row r="65" spans="1:74" s="144" customFormat="1">
      <c r="A65" s="173"/>
      <c r="B65" s="177" t="s">
        <v>146</v>
      </c>
      <c r="C65" s="175"/>
      <c r="D65" s="175">
        <f t="shared" si="131"/>
        <v>0</v>
      </c>
      <c r="E65" s="175"/>
      <c r="F65" s="175"/>
      <c r="G65" s="175"/>
      <c r="H65" s="175"/>
      <c r="I65" s="175"/>
      <c r="J65" s="175"/>
      <c r="K65" s="175"/>
      <c r="L65" s="175">
        <f>'2 利润表'!E22-L56</f>
        <v>0</v>
      </c>
      <c r="M65" s="175"/>
      <c r="N65" s="175"/>
      <c r="O65" s="175"/>
      <c r="P65" s="175"/>
      <c r="Q65" s="175">
        <f>'2 利润表'!F22-Q56</f>
        <v>0</v>
      </c>
      <c r="R65" s="175"/>
      <c r="S65" s="175"/>
      <c r="T65" s="175"/>
      <c r="U65" s="175"/>
      <c r="V65" s="175">
        <f>'2 利润表'!G22-V56</f>
        <v>0</v>
      </c>
      <c r="W65" s="175"/>
      <c r="X65" s="175"/>
      <c r="Y65" s="175"/>
      <c r="Z65" s="175"/>
      <c r="AA65" s="175">
        <f>'2 利润表'!H22-AA56</f>
        <v>0</v>
      </c>
      <c r="AB65" s="175"/>
      <c r="AC65" s="175"/>
      <c r="AD65" s="175"/>
      <c r="AE65" s="175"/>
      <c r="AF65" s="175">
        <f>'2 利润表'!I22-AF56</f>
        <v>0</v>
      </c>
      <c r="AG65" s="175"/>
      <c r="AH65" s="175"/>
      <c r="AI65" s="175"/>
      <c r="AJ65" s="175"/>
      <c r="AK65" s="175">
        <f>'2 利润表'!J22-AK56</f>
        <v>0</v>
      </c>
      <c r="AL65" s="175"/>
      <c r="AM65" s="175"/>
      <c r="AN65" s="175"/>
      <c r="AO65" s="175"/>
      <c r="AP65" s="175">
        <f>'2 利润表'!K22-AP56</f>
        <v>0</v>
      </c>
      <c r="AQ65" s="175"/>
      <c r="AR65" s="175"/>
      <c r="AS65" s="175"/>
      <c r="AT65" s="175"/>
      <c r="AU65" s="175">
        <f>'2 利润表'!L22-AU56</f>
        <v>0</v>
      </c>
      <c r="AV65" s="175"/>
      <c r="AW65" s="175"/>
      <c r="AX65" s="175"/>
      <c r="AY65" s="175"/>
      <c r="AZ65" s="175">
        <f>'2 利润表'!M22-AZ56</f>
        <v>0</v>
      </c>
      <c r="BA65" s="175"/>
      <c r="BB65" s="175"/>
      <c r="BC65" s="175"/>
      <c r="BD65" s="175"/>
      <c r="BE65" s="175">
        <f>'2 利润表'!N22-BE56</f>
        <v>0</v>
      </c>
      <c r="BF65" s="175"/>
      <c r="BG65" s="175"/>
      <c r="BH65" s="175"/>
      <c r="BI65" s="175"/>
      <c r="BJ65" s="175">
        <f>'2 利润表'!O22-BJ56</f>
        <v>0</v>
      </c>
      <c r="BK65" s="175"/>
      <c r="BL65" s="175"/>
      <c r="BM65" s="175"/>
      <c r="BN65" s="175"/>
      <c r="BO65" s="175">
        <f>'2 利润表'!P22-BO56</f>
        <v>0</v>
      </c>
      <c r="BP65" s="175"/>
      <c r="BQ65" s="175"/>
      <c r="BR65" s="175"/>
      <c r="BS65" s="175"/>
      <c r="BT65" s="175">
        <f>'2 利润表'!Q22-BT56</f>
        <v>0</v>
      </c>
      <c r="BU65" s="175"/>
      <c r="BV65" s="175"/>
    </row>
    <row r="66" spans="1:74" s="144" customFormat="1">
      <c r="A66" s="173"/>
      <c r="B66" s="177" t="s">
        <v>147</v>
      </c>
      <c r="C66" s="175"/>
      <c r="D66" s="175">
        <f t="shared" si="131"/>
        <v>0</v>
      </c>
      <c r="E66" s="175"/>
      <c r="F66" s="175"/>
      <c r="G66" s="175"/>
      <c r="H66" s="175"/>
      <c r="I66" s="175"/>
      <c r="J66" s="175"/>
      <c r="K66" s="175"/>
      <c r="L66" s="175"/>
      <c r="M66" s="175">
        <f>'2 利润表'!E23-M56</f>
        <v>0</v>
      </c>
      <c r="N66" s="175"/>
      <c r="O66" s="175"/>
      <c r="P66" s="175"/>
      <c r="Q66" s="175"/>
      <c r="R66" s="175">
        <f>'2 利润表'!F23-R56</f>
        <v>0</v>
      </c>
      <c r="S66" s="175"/>
      <c r="T66" s="175"/>
      <c r="U66" s="175"/>
      <c r="V66" s="175"/>
      <c r="W66" s="175">
        <f>'2 利润表'!G23-W56</f>
        <v>0</v>
      </c>
      <c r="X66" s="175"/>
      <c r="Y66" s="175"/>
      <c r="Z66" s="175"/>
      <c r="AA66" s="175"/>
      <c r="AB66" s="175">
        <f>'2 利润表'!H23-AB56</f>
        <v>0</v>
      </c>
      <c r="AC66" s="175"/>
      <c r="AD66" s="175"/>
      <c r="AE66" s="175"/>
      <c r="AF66" s="175"/>
      <c r="AG66" s="175">
        <f>'2 利润表'!I23-AG56</f>
        <v>0</v>
      </c>
      <c r="AH66" s="175"/>
      <c r="AI66" s="175"/>
      <c r="AJ66" s="175"/>
      <c r="AK66" s="175"/>
      <c r="AL66" s="175">
        <f>'2 利润表'!J23-AL56</f>
        <v>0</v>
      </c>
      <c r="AM66" s="175"/>
      <c r="AN66" s="175"/>
      <c r="AO66" s="175"/>
      <c r="AP66" s="175"/>
      <c r="AQ66" s="175">
        <f>'2 利润表'!K23-AQ56</f>
        <v>0</v>
      </c>
      <c r="AR66" s="175"/>
      <c r="AS66" s="175"/>
      <c r="AT66" s="175"/>
      <c r="AU66" s="175"/>
      <c r="AV66" s="175">
        <f>'2 利润表'!L23-AV56</f>
        <v>0</v>
      </c>
      <c r="AW66" s="175"/>
      <c r="AX66" s="175"/>
      <c r="AY66" s="175"/>
      <c r="AZ66" s="175"/>
      <c r="BA66" s="175">
        <f>'2 利润表'!M23-BA56</f>
        <v>0</v>
      </c>
      <c r="BB66" s="175"/>
      <c r="BC66" s="175"/>
      <c r="BD66" s="175"/>
      <c r="BE66" s="175"/>
      <c r="BF66" s="175">
        <f>'2 利润表'!N23-BF56</f>
        <v>0</v>
      </c>
      <c r="BG66" s="175"/>
      <c r="BH66" s="175"/>
      <c r="BI66" s="175"/>
      <c r="BJ66" s="175"/>
      <c r="BK66" s="175">
        <f>'2 利润表'!O23-BK56</f>
        <v>0</v>
      </c>
      <c r="BL66" s="175"/>
      <c r="BM66" s="175"/>
      <c r="BN66" s="175"/>
      <c r="BO66" s="175"/>
      <c r="BP66" s="175">
        <f>'2 利润表'!P23-BP56</f>
        <v>0</v>
      </c>
      <c r="BQ66" s="175"/>
      <c r="BR66" s="175"/>
      <c r="BS66" s="175"/>
      <c r="BT66" s="175"/>
      <c r="BU66" s="175">
        <f>'2 利润表'!Q23-BU56</f>
        <v>0</v>
      </c>
      <c r="BV66" s="175"/>
    </row>
    <row r="67" spans="1:74" s="144" customFormat="1">
      <c r="A67" s="173"/>
      <c r="B67" s="177" t="s">
        <v>148</v>
      </c>
      <c r="C67" s="175"/>
      <c r="D67" s="175">
        <f t="shared" si="131"/>
        <v>0</v>
      </c>
      <c r="E67" s="175"/>
      <c r="F67" s="175"/>
      <c r="G67" s="175"/>
      <c r="H67" s="175"/>
      <c r="I67" s="175"/>
      <c r="J67" s="175"/>
      <c r="K67" s="175"/>
      <c r="L67" s="175"/>
      <c r="M67" s="175"/>
      <c r="N67" s="175">
        <f>'5 开发成本表'!D43-'6 总体费用'!N56</f>
        <v>0</v>
      </c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  <c r="BJ67" s="175"/>
      <c r="BK67" s="175"/>
      <c r="BL67" s="175"/>
      <c r="BM67" s="175"/>
      <c r="BN67" s="175"/>
      <c r="BO67" s="175"/>
      <c r="BP67" s="175"/>
      <c r="BQ67" s="175"/>
      <c r="BR67" s="175"/>
      <c r="BS67" s="175"/>
      <c r="BT67" s="175"/>
      <c r="BU67" s="175"/>
      <c r="BV67" s="175"/>
    </row>
  </sheetData>
  <sheetProtection password="F79E" sheet="1" objects="1" scenarios="1"/>
  <mergeCells count="18">
    <mergeCell ref="BC5:BG5"/>
    <mergeCell ref="BH5:BL5"/>
    <mergeCell ref="BM5:BQ5"/>
    <mergeCell ref="BR5:BV5"/>
    <mergeCell ref="AI5:AM5"/>
    <mergeCell ref="AN5:AR5"/>
    <mergeCell ref="AS5:AW5"/>
    <mergeCell ref="AX5:BB5"/>
    <mergeCell ref="A5:A6"/>
    <mergeCell ref="B5:B6"/>
    <mergeCell ref="C5:C6"/>
    <mergeCell ref="D5:D6"/>
    <mergeCell ref="AD5:AH5"/>
    <mergeCell ref="E5:I5"/>
    <mergeCell ref="J5:N5"/>
    <mergeCell ref="O5:S5"/>
    <mergeCell ref="T5:X5"/>
    <mergeCell ref="Y5:AC5"/>
  </mergeCells>
  <phoneticPr fontId="83" type="noConversion"/>
  <hyperlinks>
    <hyperlink ref="A1" location="目录!A1" display="总体费用明细表（自动计算）"/>
  </hyperlinks>
  <pageMargins left="0.69930555555555596" right="0.69930555555555596" top="0.75" bottom="0.75" header="0.3" footer="0.3"/>
  <pageSetup paperSize="9" scale="44" orientation="portrait" r:id="rId1"/>
  <colBreaks count="2" manualBreakCount="2">
    <brk id="24" max="1048575" man="1"/>
    <brk id="56" max="56" man="1"/>
  </colBreaks>
  <ignoredErrors>
    <ignoredError sqref="D59:D6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21"/>
  <sheetViews>
    <sheetView view="pageBreakPreview" zoomScaleNormal="100" zoomScaleSheetLayoutView="100" workbookViewId="0">
      <pane xSplit="3" ySplit="6" topLeftCell="D7" activePane="bottomRight" state="frozen"/>
      <selection pane="topRight"/>
      <selection pane="bottomLeft"/>
      <selection pane="bottomRight" activeCell="R32" sqref="R32"/>
    </sheetView>
  </sheetViews>
  <sheetFormatPr defaultColWidth="9" defaultRowHeight="14.25"/>
  <cols>
    <col min="1" max="1" width="5.625" customWidth="1"/>
    <col min="2" max="2" width="10.625" customWidth="1"/>
    <col min="3" max="3" width="10" customWidth="1"/>
    <col min="4" max="4" width="11" customWidth="1"/>
    <col min="5" max="5" width="10.375" customWidth="1"/>
    <col min="10" max="11" width="10.75" customWidth="1"/>
    <col min="13" max="13" width="12.875" bestFit="1" customWidth="1"/>
    <col min="14" max="14" width="10.625" customWidth="1"/>
    <col min="22" max="22" width="13.625" customWidth="1"/>
  </cols>
  <sheetData>
    <row r="1" spans="1:215" ht="18.75">
      <c r="A1" s="1" t="s">
        <v>168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</row>
    <row r="2" spans="1:215" ht="18">
      <c r="A2" s="2" t="str">
        <f>"编制单位："&amp;编制说明及审核公式!$C$2</f>
        <v>编制单位：上海丰泰置业有限公司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</row>
    <row r="3" spans="1:215" ht="18">
      <c r="A3" s="2" t="str">
        <f>"日期："&amp;编制说明及审核公式!$C$3</f>
        <v>日期：2020年12月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</row>
    <row r="4" spans="1:215">
      <c r="A4" s="2" t="s">
        <v>175</v>
      </c>
      <c r="B4" s="96"/>
      <c r="C4" s="97"/>
      <c r="D4" s="97"/>
      <c r="E4" s="96"/>
      <c r="F4" s="97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/>
      <c r="FC4" s="96"/>
      <c r="FD4" s="96"/>
      <c r="FE4" s="96"/>
      <c r="FF4" s="96"/>
      <c r="FG4" s="96"/>
      <c r="FH4" s="96"/>
      <c r="FI4" s="96"/>
      <c r="FJ4" s="96"/>
      <c r="FK4" s="96"/>
      <c r="FL4" s="96"/>
      <c r="FM4" s="96"/>
      <c r="FN4" s="96"/>
      <c r="FO4" s="96"/>
      <c r="FP4" s="96"/>
      <c r="FQ4" s="96"/>
      <c r="FR4" s="96"/>
      <c r="FS4" s="96"/>
      <c r="FT4" s="96"/>
      <c r="FU4" s="96"/>
      <c r="FV4" s="96"/>
      <c r="FW4" s="96"/>
      <c r="FX4" s="96"/>
      <c r="FY4" s="96"/>
      <c r="FZ4" s="96"/>
      <c r="GA4" s="96"/>
      <c r="GB4" s="96"/>
      <c r="GC4" s="96"/>
      <c r="GD4" s="96"/>
      <c r="GE4" s="96"/>
      <c r="GF4" s="96"/>
      <c r="GG4" s="96"/>
      <c r="GH4" s="96"/>
      <c r="GI4" s="96"/>
      <c r="GJ4" s="96"/>
      <c r="GK4" s="96"/>
      <c r="GL4" s="96"/>
      <c r="GM4" s="96"/>
      <c r="GN4" s="96"/>
      <c r="GO4" s="96"/>
      <c r="GP4" s="96"/>
      <c r="GQ4" s="96"/>
      <c r="GR4" s="96"/>
      <c r="GS4" s="96"/>
      <c r="GT4" s="96"/>
      <c r="GU4" s="96"/>
      <c r="GV4" s="116"/>
      <c r="GW4" s="116"/>
      <c r="GX4" s="116"/>
      <c r="GY4" s="116"/>
      <c r="GZ4" s="116"/>
      <c r="HA4" s="116"/>
      <c r="HB4" s="96"/>
      <c r="HC4" s="96"/>
      <c r="HD4" s="96"/>
      <c r="HE4" s="96"/>
      <c r="HF4" s="96"/>
      <c r="HG4" s="96"/>
    </row>
    <row r="5" spans="1:215" s="93" customFormat="1" ht="34.5" customHeight="1">
      <c r="A5" s="98" t="s">
        <v>698</v>
      </c>
      <c r="B5" s="99" t="s">
        <v>699</v>
      </c>
      <c r="C5" s="99" t="s">
        <v>700</v>
      </c>
      <c r="D5" s="100" t="s">
        <v>701</v>
      </c>
      <c r="E5" s="99" t="s">
        <v>702</v>
      </c>
      <c r="F5" s="99" t="s">
        <v>703</v>
      </c>
      <c r="G5" s="101" t="s">
        <v>704</v>
      </c>
      <c r="H5" s="101" t="s">
        <v>705</v>
      </c>
      <c r="I5" s="117" t="s">
        <v>706</v>
      </c>
      <c r="J5" s="118" t="s">
        <v>707</v>
      </c>
      <c r="K5" s="119" t="s">
        <v>708</v>
      </c>
      <c r="L5" s="120" t="s">
        <v>709</v>
      </c>
      <c r="M5" s="120" t="s">
        <v>710</v>
      </c>
      <c r="N5" s="121" t="s">
        <v>711</v>
      </c>
      <c r="O5" s="120" t="s">
        <v>712</v>
      </c>
      <c r="P5" s="120" t="s">
        <v>713</v>
      </c>
      <c r="Q5" s="119" t="s">
        <v>714</v>
      </c>
      <c r="R5" s="119" t="s">
        <v>715</v>
      </c>
      <c r="S5" s="119" t="s">
        <v>716</v>
      </c>
      <c r="T5" s="119" t="s">
        <v>717</v>
      </c>
      <c r="U5" s="119" t="s">
        <v>718</v>
      </c>
      <c r="V5" s="119" t="s">
        <v>719</v>
      </c>
      <c r="W5" s="136" t="s">
        <v>285</v>
      </c>
      <c r="X5" s="137"/>
      <c r="Y5" s="137"/>
      <c r="Z5" s="137"/>
      <c r="AA5" s="137"/>
      <c r="AB5" s="137"/>
    </row>
    <row r="6" spans="1:215" s="94" customFormat="1" ht="14.1" customHeight="1">
      <c r="A6" s="99" t="s">
        <v>534</v>
      </c>
      <c r="B6" s="102"/>
      <c r="C6" s="102"/>
      <c r="D6" s="102"/>
      <c r="E6" s="102"/>
      <c r="F6" s="103">
        <f>SUM(F7:F16)</f>
        <v>0</v>
      </c>
      <c r="G6" s="7"/>
      <c r="H6" s="7"/>
      <c r="I6" s="102"/>
      <c r="J6" s="122">
        <f t="shared" ref="J6:P6" si="0">SUM(J7:J16)</f>
        <v>0</v>
      </c>
      <c r="K6" s="123">
        <f t="shared" si="0"/>
        <v>52240524.240000002</v>
      </c>
      <c r="L6" s="122">
        <f t="shared" si="0"/>
        <v>0</v>
      </c>
      <c r="M6" s="122">
        <f t="shared" si="0"/>
        <v>52240524.240000002</v>
      </c>
      <c r="N6" s="123">
        <f t="shared" si="0"/>
        <v>96277266.299999997</v>
      </c>
      <c r="O6" s="122">
        <f t="shared" si="0"/>
        <v>0</v>
      </c>
      <c r="P6" s="122">
        <f t="shared" si="0"/>
        <v>96277266.299999997</v>
      </c>
      <c r="Q6" s="122">
        <f t="shared" ref="Q6:V6" si="1">SUM(Q7:Q16)</f>
        <v>635777562.29999995</v>
      </c>
      <c r="R6" s="122">
        <f t="shared" si="1"/>
        <v>0</v>
      </c>
      <c r="S6" s="122">
        <f t="shared" si="1"/>
        <v>272290590.36000001</v>
      </c>
      <c r="T6" s="122">
        <f t="shared" si="1"/>
        <v>34925698.200000003</v>
      </c>
      <c r="U6" s="122">
        <f t="shared" si="1"/>
        <v>34925698.200000003</v>
      </c>
      <c r="V6" s="122">
        <f t="shared" si="1"/>
        <v>873142454.45999992</v>
      </c>
      <c r="W6" s="138">
        <f>ROUND(K6-L6-M6,2)</f>
        <v>0</v>
      </c>
      <c r="X6" s="138">
        <f>ROUND(Q6+S6-U6-V6,2)</f>
        <v>0</v>
      </c>
    </row>
    <row r="7" spans="1:215" s="94" customFormat="1" ht="14.1" customHeight="1">
      <c r="A7" s="19">
        <v>1</v>
      </c>
      <c r="B7" s="9" t="s">
        <v>720</v>
      </c>
      <c r="C7" s="9" t="s">
        <v>721</v>
      </c>
      <c r="D7" s="104"/>
      <c r="E7" s="9"/>
      <c r="F7" s="105"/>
      <c r="G7" s="106">
        <v>43119</v>
      </c>
      <c r="H7" s="106">
        <v>44945</v>
      </c>
      <c r="I7" s="124">
        <v>6.1749999999999999E-2</v>
      </c>
      <c r="J7" s="125"/>
      <c r="K7" s="123">
        <f>L7+M7</f>
        <v>52240524.240000002</v>
      </c>
      <c r="L7" s="125"/>
      <c r="M7" s="125">
        <v>52240524.240000002</v>
      </c>
      <c r="N7" s="123">
        <f>O7+P7</f>
        <v>96277266.299999997</v>
      </c>
      <c r="O7" s="125"/>
      <c r="P7" s="125">
        <v>96277266.299999997</v>
      </c>
      <c r="Q7" s="125">
        <v>635777562.29999995</v>
      </c>
      <c r="R7" s="372"/>
      <c r="S7" s="372">
        <f>88847248.39+104149878.72+38467833.6+40825629.65</f>
        <v>272290590.36000001</v>
      </c>
      <c r="T7" s="125">
        <v>34925698.200000003</v>
      </c>
      <c r="U7" s="125">
        <v>34925698.200000003</v>
      </c>
      <c r="V7" s="122">
        <f>Q7+S7-U7</f>
        <v>873142454.45999992</v>
      </c>
      <c r="W7" s="138">
        <f t="shared" ref="W7:W16" si="2">ROUND(K7-L7-M7,2)</f>
        <v>0</v>
      </c>
      <c r="X7" s="138">
        <f t="shared" ref="X7:X16" si="3">ROUND(Q7+S7-U7-V7,2)</f>
        <v>0</v>
      </c>
    </row>
    <row r="8" spans="1:215" s="94" customFormat="1" ht="14.1" customHeight="1">
      <c r="A8" s="19">
        <v>2</v>
      </c>
      <c r="B8" s="9"/>
      <c r="C8" s="9"/>
      <c r="D8" s="104"/>
      <c r="E8" s="104"/>
      <c r="F8" s="105"/>
      <c r="G8" s="107"/>
      <c r="H8" s="107"/>
      <c r="I8" s="124"/>
      <c r="J8" s="125"/>
      <c r="K8" s="123">
        <f t="shared" ref="K8:K16" si="4">L8+M8</f>
        <v>0</v>
      </c>
      <c r="L8" s="125"/>
      <c r="M8" s="125"/>
      <c r="N8" s="123">
        <f t="shared" ref="N8:N16" si="5">O8+P8</f>
        <v>0</v>
      </c>
      <c r="O8" s="125"/>
      <c r="P8" s="125"/>
      <c r="Q8" s="125"/>
      <c r="R8" s="125"/>
      <c r="S8" s="125"/>
      <c r="T8" s="125"/>
      <c r="U8" s="125"/>
      <c r="V8" s="122">
        <f t="shared" ref="V8:V16" si="6">Q8+S8-U8</f>
        <v>0</v>
      </c>
      <c r="W8" s="138">
        <f t="shared" si="2"/>
        <v>0</v>
      </c>
      <c r="X8" s="138">
        <f t="shared" si="3"/>
        <v>0</v>
      </c>
    </row>
    <row r="9" spans="1:215" s="94" customFormat="1" ht="14.1" customHeight="1">
      <c r="A9" s="19">
        <v>3</v>
      </c>
      <c r="B9" s="9"/>
      <c r="C9" s="9"/>
      <c r="D9" s="104"/>
      <c r="E9" s="104"/>
      <c r="F9" s="105"/>
      <c r="G9" s="107"/>
      <c r="H9" s="107"/>
      <c r="I9" s="124"/>
      <c r="J9" s="125"/>
      <c r="K9" s="123">
        <f t="shared" si="4"/>
        <v>0</v>
      </c>
      <c r="L9" s="125"/>
      <c r="M9" s="125"/>
      <c r="N9" s="123">
        <f t="shared" si="5"/>
        <v>0</v>
      </c>
      <c r="O9" s="125"/>
      <c r="P9" s="125"/>
      <c r="Q9" s="125"/>
      <c r="R9" s="125"/>
      <c r="S9" s="125"/>
      <c r="T9" s="125"/>
      <c r="U9" s="125"/>
      <c r="V9" s="122">
        <f t="shared" si="6"/>
        <v>0</v>
      </c>
      <c r="W9" s="138">
        <f t="shared" si="2"/>
        <v>0</v>
      </c>
      <c r="X9" s="138">
        <f t="shared" si="3"/>
        <v>0</v>
      </c>
    </row>
    <row r="10" spans="1:215" s="94" customFormat="1" ht="14.1" customHeight="1">
      <c r="A10" s="19">
        <v>4</v>
      </c>
      <c r="B10" s="9"/>
      <c r="C10" s="9"/>
      <c r="D10" s="104"/>
      <c r="E10" s="104"/>
      <c r="F10" s="105"/>
      <c r="G10" s="107"/>
      <c r="H10" s="107"/>
      <c r="I10" s="124"/>
      <c r="J10" s="125"/>
      <c r="K10" s="123">
        <f t="shared" si="4"/>
        <v>0</v>
      </c>
      <c r="L10" s="125"/>
      <c r="M10" s="125"/>
      <c r="N10" s="123">
        <f t="shared" si="5"/>
        <v>0</v>
      </c>
      <c r="O10" s="125"/>
      <c r="P10" s="125"/>
      <c r="Q10" s="125"/>
      <c r="R10" s="125"/>
      <c r="S10" s="125"/>
      <c r="T10" s="125"/>
      <c r="U10" s="125"/>
      <c r="V10" s="122">
        <f t="shared" si="6"/>
        <v>0</v>
      </c>
      <c r="W10" s="138">
        <f t="shared" si="2"/>
        <v>0</v>
      </c>
      <c r="X10" s="138">
        <f t="shared" si="3"/>
        <v>0</v>
      </c>
    </row>
    <row r="11" spans="1:215" s="94" customFormat="1" ht="14.1" customHeight="1">
      <c r="A11" s="19">
        <v>5</v>
      </c>
      <c r="B11" s="9"/>
      <c r="C11" s="9"/>
      <c r="D11" s="104"/>
      <c r="E11" s="104"/>
      <c r="F11" s="105"/>
      <c r="G11" s="107"/>
      <c r="H11" s="107"/>
      <c r="I11" s="124"/>
      <c r="J11" s="125"/>
      <c r="K11" s="123">
        <f t="shared" si="4"/>
        <v>0</v>
      </c>
      <c r="L11" s="125"/>
      <c r="M11" s="125"/>
      <c r="N11" s="123">
        <f t="shared" si="5"/>
        <v>0</v>
      </c>
      <c r="O11" s="125"/>
      <c r="P11" s="125"/>
      <c r="Q11" s="125"/>
      <c r="R11" s="125"/>
      <c r="S11" s="125"/>
      <c r="T11" s="125"/>
      <c r="U11" s="125"/>
      <c r="V11" s="122">
        <f t="shared" si="6"/>
        <v>0</v>
      </c>
      <c r="W11" s="138">
        <f t="shared" si="2"/>
        <v>0</v>
      </c>
      <c r="X11" s="138">
        <f t="shared" si="3"/>
        <v>0</v>
      </c>
    </row>
    <row r="12" spans="1:215" s="94" customFormat="1" ht="14.1" customHeight="1">
      <c r="A12" s="19">
        <v>6</v>
      </c>
      <c r="B12" s="9"/>
      <c r="C12" s="9"/>
      <c r="D12" s="104"/>
      <c r="E12" s="104"/>
      <c r="F12" s="105"/>
      <c r="G12" s="107"/>
      <c r="H12" s="107"/>
      <c r="I12" s="124"/>
      <c r="J12" s="125"/>
      <c r="K12" s="123">
        <f t="shared" si="4"/>
        <v>0</v>
      </c>
      <c r="L12" s="125"/>
      <c r="M12" s="125"/>
      <c r="N12" s="123">
        <f t="shared" si="5"/>
        <v>0</v>
      </c>
      <c r="O12" s="125"/>
      <c r="P12" s="125"/>
      <c r="Q12" s="125"/>
      <c r="R12" s="125"/>
      <c r="S12" s="125"/>
      <c r="T12" s="125"/>
      <c r="U12" s="125"/>
      <c r="V12" s="122">
        <f t="shared" si="6"/>
        <v>0</v>
      </c>
      <c r="W12" s="138">
        <f t="shared" si="2"/>
        <v>0</v>
      </c>
      <c r="X12" s="138">
        <f t="shared" si="3"/>
        <v>0</v>
      </c>
    </row>
    <row r="13" spans="1:215" s="94" customFormat="1" ht="14.1" customHeight="1">
      <c r="A13" s="19">
        <v>7</v>
      </c>
      <c r="B13" s="9"/>
      <c r="C13" s="108"/>
      <c r="D13" s="105"/>
      <c r="E13" s="104"/>
      <c r="F13" s="105"/>
      <c r="G13" s="107"/>
      <c r="H13" s="107"/>
      <c r="I13" s="124"/>
      <c r="J13" s="125"/>
      <c r="K13" s="123">
        <f t="shared" si="4"/>
        <v>0</v>
      </c>
      <c r="L13" s="125"/>
      <c r="M13" s="125"/>
      <c r="N13" s="123">
        <f t="shared" si="5"/>
        <v>0</v>
      </c>
      <c r="O13" s="125"/>
      <c r="P13" s="125"/>
      <c r="Q13" s="125"/>
      <c r="R13" s="125"/>
      <c r="S13" s="125"/>
      <c r="T13" s="125"/>
      <c r="U13" s="125"/>
      <c r="V13" s="122">
        <f t="shared" si="6"/>
        <v>0</v>
      </c>
      <c r="W13" s="138">
        <f t="shared" si="2"/>
        <v>0</v>
      </c>
      <c r="X13" s="138">
        <f t="shared" si="3"/>
        <v>0</v>
      </c>
    </row>
    <row r="14" spans="1:215" s="94" customFormat="1" ht="14.1" customHeight="1">
      <c r="A14" s="19">
        <v>8</v>
      </c>
      <c r="B14" s="9"/>
      <c r="C14" s="108"/>
      <c r="D14" s="105"/>
      <c r="E14" s="104"/>
      <c r="F14" s="105"/>
      <c r="G14" s="107"/>
      <c r="H14" s="107"/>
      <c r="I14" s="124"/>
      <c r="J14" s="125"/>
      <c r="K14" s="123">
        <f t="shared" si="4"/>
        <v>0</v>
      </c>
      <c r="L14" s="125"/>
      <c r="M14" s="125"/>
      <c r="N14" s="123">
        <f t="shared" si="5"/>
        <v>0</v>
      </c>
      <c r="O14" s="125"/>
      <c r="P14" s="125"/>
      <c r="Q14" s="125"/>
      <c r="R14" s="125"/>
      <c r="S14" s="125"/>
      <c r="T14" s="125"/>
      <c r="U14" s="125"/>
      <c r="V14" s="122">
        <f t="shared" si="6"/>
        <v>0</v>
      </c>
      <c r="W14" s="138">
        <f t="shared" si="2"/>
        <v>0</v>
      </c>
      <c r="X14" s="138">
        <f t="shared" si="3"/>
        <v>0</v>
      </c>
    </row>
    <row r="15" spans="1:215" s="94" customFormat="1" ht="14.1" customHeight="1">
      <c r="A15" s="19">
        <v>9</v>
      </c>
      <c r="B15" s="9"/>
      <c r="C15" s="108"/>
      <c r="D15" s="105"/>
      <c r="E15" s="104"/>
      <c r="F15" s="105"/>
      <c r="G15" s="107"/>
      <c r="H15" s="107"/>
      <c r="I15" s="124"/>
      <c r="J15" s="125"/>
      <c r="K15" s="123">
        <f t="shared" si="4"/>
        <v>0</v>
      </c>
      <c r="L15" s="125"/>
      <c r="M15" s="125"/>
      <c r="N15" s="123">
        <f t="shared" si="5"/>
        <v>0</v>
      </c>
      <c r="O15" s="125"/>
      <c r="P15" s="125"/>
      <c r="Q15" s="125"/>
      <c r="R15" s="125"/>
      <c r="S15" s="125"/>
      <c r="T15" s="125"/>
      <c r="U15" s="125"/>
      <c r="V15" s="122">
        <f t="shared" si="6"/>
        <v>0</v>
      </c>
      <c r="W15" s="138">
        <f t="shared" si="2"/>
        <v>0</v>
      </c>
      <c r="X15" s="138">
        <f t="shared" si="3"/>
        <v>0</v>
      </c>
    </row>
    <row r="16" spans="1:215" s="94" customFormat="1" ht="14.1" customHeight="1">
      <c r="A16" s="28" t="s">
        <v>722</v>
      </c>
      <c r="B16" s="109"/>
      <c r="C16" s="110"/>
      <c r="D16" s="111"/>
      <c r="E16" s="112"/>
      <c r="F16" s="111"/>
      <c r="G16" s="113"/>
      <c r="H16" s="113"/>
      <c r="I16" s="126"/>
      <c r="J16" s="127"/>
      <c r="K16" s="127">
        <f t="shared" si="4"/>
        <v>0</v>
      </c>
      <c r="L16" s="127"/>
      <c r="M16" s="127"/>
      <c r="N16" s="127">
        <f t="shared" si="5"/>
        <v>0</v>
      </c>
      <c r="O16" s="127"/>
      <c r="P16" s="127"/>
      <c r="Q16" s="127"/>
      <c r="R16" s="127"/>
      <c r="S16" s="127"/>
      <c r="T16" s="127"/>
      <c r="U16" s="127"/>
      <c r="V16" s="127">
        <f t="shared" si="6"/>
        <v>0</v>
      </c>
      <c r="W16" s="138">
        <f t="shared" si="2"/>
        <v>0</v>
      </c>
      <c r="X16" s="138">
        <f t="shared" si="3"/>
        <v>0</v>
      </c>
    </row>
    <row r="17" spans="1:22" s="94" customFormat="1" ht="12">
      <c r="J17" s="128"/>
      <c r="K17" s="129"/>
      <c r="L17" s="129"/>
      <c r="M17" s="129"/>
      <c r="N17" s="130"/>
      <c r="O17" s="130"/>
      <c r="P17" s="130"/>
      <c r="Q17" s="130"/>
      <c r="R17" s="130"/>
      <c r="S17" s="130"/>
      <c r="T17" s="130"/>
      <c r="U17" s="130"/>
      <c r="V17" s="130"/>
    </row>
    <row r="18" spans="1:22" s="94" customFormat="1" ht="12">
      <c r="A18" s="114" t="s">
        <v>524</v>
      </c>
      <c r="J18" s="131" t="s">
        <v>723</v>
      </c>
      <c r="K18" s="105"/>
      <c r="L18" s="132">
        <f>ROUND(L6-'2 利润表'!E24,2)</f>
        <v>0</v>
      </c>
      <c r="M18" s="132">
        <f>ROUND(M6-'5 开发成本表'!D50,2)</f>
        <v>0</v>
      </c>
      <c r="N18" s="105"/>
      <c r="O18" s="105"/>
      <c r="P18" s="132">
        <f>ROUND(P6-'5 开发成本表'!E50,2)</f>
        <v>0</v>
      </c>
      <c r="Q18" s="130"/>
      <c r="R18" s="130"/>
      <c r="S18" s="130"/>
      <c r="T18" s="130"/>
      <c r="U18" s="130"/>
      <c r="V18" s="130"/>
    </row>
    <row r="19" spans="1:22" s="94" customFormat="1" ht="12">
      <c r="A19" s="115" t="s">
        <v>724</v>
      </c>
      <c r="J19" s="133"/>
      <c r="K19" s="134"/>
      <c r="L19" s="129"/>
      <c r="M19" s="135"/>
      <c r="N19" s="130"/>
      <c r="O19" s="130"/>
      <c r="P19" s="130"/>
      <c r="Q19" s="130"/>
      <c r="R19" s="130"/>
      <c r="S19" s="130"/>
      <c r="T19" s="130"/>
      <c r="U19" s="130"/>
      <c r="V19" s="130"/>
    </row>
    <row r="20" spans="1:22" s="94" customFormat="1" ht="12">
      <c r="A20" s="115"/>
    </row>
    <row r="21" spans="1:22">
      <c r="A21" s="116"/>
    </row>
  </sheetData>
  <phoneticPr fontId="83" type="noConversion"/>
  <hyperlinks>
    <hyperlink ref="A1" location="目录!A1" display="融资明细表"/>
  </hyperlinks>
  <pageMargins left="0.70763888888888904" right="0.70763888888888904" top="0.74791666666666701" bottom="0.74791666666666701" header="0.31388888888888899" footer="0.31388888888888899"/>
  <pageSetup paperSize="9" scale="57" orientation="landscape" r:id="rId1"/>
  <colBreaks count="1" manualBreakCount="1">
    <brk id="13" max="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12</vt:i4>
      </vt:variant>
    </vt:vector>
  </HeadingPairs>
  <TitlesOfParts>
    <vt:vector size="26" baseType="lpstr">
      <vt:lpstr>编制说明及审核公式</vt:lpstr>
      <vt:lpstr>目录</vt:lpstr>
      <vt:lpstr>1 资产负债表</vt:lpstr>
      <vt:lpstr>2 利润表</vt:lpstr>
      <vt:lpstr>3 现金流量表</vt:lpstr>
      <vt:lpstr>4 管理利润表</vt:lpstr>
      <vt:lpstr>5 开发成本表</vt:lpstr>
      <vt:lpstr>6 总体费用</vt:lpstr>
      <vt:lpstr>7 融资表</vt:lpstr>
      <vt:lpstr>8 税费表</vt:lpstr>
      <vt:lpstr>9.1 关联方交易</vt:lpstr>
      <vt:lpstr>9.2 关联方往来</vt:lpstr>
      <vt:lpstr>9.3 关联方现金流</vt:lpstr>
      <vt:lpstr>10 其他事项</vt:lpstr>
      <vt:lpstr>'1 资产负债表'!Print_Area</vt:lpstr>
      <vt:lpstr>'2 利润表'!Print_Area</vt:lpstr>
      <vt:lpstr>'3 现金流量表'!Print_Area</vt:lpstr>
      <vt:lpstr>'4 管理利润表'!Print_Area</vt:lpstr>
      <vt:lpstr>'5 开发成本表'!Print_Area</vt:lpstr>
      <vt:lpstr>'6 总体费用'!Print_Area</vt:lpstr>
      <vt:lpstr>'7 融资表'!Print_Area</vt:lpstr>
      <vt:lpstr>'8 税费表'!Print_Area</vt:lpstr>
      <vt:lpstr>编制说明及审核公式!Print_Area</vt:lpstr>
      <vt:lpstr>'1 资产负债表'!Print_Titles</vt:lpstr>
      <vt:lpstr>'4 管理利润表'!Print_Titles</vt:lpstr>
      <vt:lpstr>'5 开发成本表'!Print_Titles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2015-06-05T18:19:00Z</dcterms:created>
  <dcterms:modified xsi:type="dcterms:W3CDTF">2021-01-18T06:23:09Z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