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haodeng/Desktop/MSBA/OPR601/Week 5/"/>
    </mc:Choice>
  </mc:AlternateContent>
  <xr:revisionPtr revIDLastSave="0" documentId="13_ncr:1_{98B9E5CC-A2C2-3042-AEFA-F504BDE66BB4}" xr6:coauthVersionLast="45" xr6:coauthVersionMax="45" xr10:uidLastSave="{00000000-0000-0000-0000-000000000000}"/>
  <bookViews>
    <workbookView xWindow="0" yWindow="0" windowWidth="28800" windowHeight="18000" activeTab="4" xr2:uid="{B9295CB4-7A9D-48FD-9D5A-A4A81E1C5006}"/>
  </bookViews>
  <sheets>
    <sheet name="Problem 2" sheetId="1" r:id="rId1"/>
    <sheet name="Problem 3" sheetId="2" r:id="rId2"/>
    <sheet name="Problem 4" sheetId="3" r:id="rId3"/>
    <sheet name="Problem 5" sheetId="4" r:id="rId4"/>
    <sheet name="Currency Arbitrage" sheetId="5" r:id="rId5"/>
    <sheet name="Currency Example" sheetId="6" r:id="rId6"/>
    <sheet name="Arbitrage" sheetId="7" r:id="rId7"/>
    <sheet name="Cutting board 1" sheetId="11" r:id="rId8"/>
    <sheet name="Cutting board 2" sheetId="8" r:id="rId9"/>
    <sheet name="Lease Terms" sheetId="9" r:id="rId10"/>
    <sheet name="Computer Production" sheetId="10" r:id="rId11"/>
  </sheets>
  <definedNames>
    <definedName name="solver_adj" localSheetId="6" hidden="1">Arbitrage!$C$19:$I$25</definedName>
    <definedName name="solver_adj" localSheetId="10" hidden="1">'Computer Production'!$B$18:$D$23</definedName>
    <definedName name="solver_adj" localSheetId="4" hidden="1">'Currency Arbitrage'!$B$11:$F$15</definedName>
    <definedName name="solver_adj" localSheetId="5" hidden="1">'Currency Example'!$B$10:$F$14</definedName>
    <definedName name="solver_adj" localSheetId="7" hidden="1">'Cutting board 1'!$B$13:$B$18</definedName>
    <definedName name="solver_adj" localSheetId="8" hidden="1">'Cutting board 2'!$B$13:$B$18</definedName>
    <definedName name="solver_adj" localSheetId="9" hidden="1">'Lease Terms'!$B$11:$F$15</definedName>
    <definedName name="solver_adj" localSheetId="0" hidden="1">'Problem 2'!$B$14:$B$19</definedName>
    <definedName name="solver_adj" localSheetId="1" hidden="1">'Problem 3'!$B$10:$D$12</definedName>
    <definedName name="solver_adj" localSheetId="2" hidden="1">'Problem 4'!$B$12:$C$18</definedName>
    <definedName name="solver_adj" localSheetId="3" hidden="1">'Problem 5'!$B$27:$E$29</definedName>
    <definedName name="solver_cvg" localSheetId="6" hidden="1">0.0001</definedName>
    <definedName name="solver_cvg" localSheetId="10" hidden="1">0.0001</definedName>
    <definedName name="solver_cvg" localSheetId="4" hidden="1">0.0001</definedName>
    <definedName name="solver_cvg" localSheetId="5" hidden="1">0.0001</definedName>
    <definedName name="solver_cvg" localSheetId="7" hidden="1">0.0001</definedName>
    <definedName name="solver_cvg" localSheetId="8" hidden="1">0.0001</definedName>
    <definedName name="solver_cvg" localSheetId="9" hidden="1">0.0001</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drv" localSheetId="6" hidden="1">1</definedName>
    <definedName name="solver_drv" localSheetId="10" hidden="1">1</definedName>
    <definedName name="solver_drv" localSheetId="4" hidden="1">1</definedName>
    <definedName name="solver_drv" localSheetId="5" hidden="1">1</definedName>
    <definedName name="solver_drv" localSheetId="7" hidden="1">1</definedName>
    <definedName name="solver_drv" localSheetId="8" hidden="1">1</definedName>
    <definedName name="solver_drv" localSheetId="9" hidden="1">1</definedName>
    <definedName name="solver_drv" localSheetId="0" hidden="1">1</definedName>
    <definedName name="solver_drv" localSheetId="1" hidden="1">1</definedName>
    <definedName name="solver_drv" localSheetId="2" hidden="1">1</definedName>
    <definedName name="solver_drv" localSheetId="3" hidden="1">2</definedName>
    <definedName name="solver_eng" localSheetId="6" hidden="1">2</definedName>
    <definedName name="solver_eng" localSheetId="10" hidden="1">2</definedName>
    <definedName name="solver_eng" localSheetId="4" hidden="1">2</definedName>
    <definedName name="solver_eng" localSheetId="5" hidden="1">2</definedName>
    <definedName name="solver_eng" localSheetId="7" hidden="1">2</definedName>
    <definedName name="solver_eng" localSheetId="8" hidden="1">2</definedName>
    <definedName name="solver_eng" localSheetId="9" hidden="1">2</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st" localSheetId="6" hidden="1">1</definedName>
    <definedName name="solver_est" localSheetId="10" hidden="1">1</definedName>
    <definedName name="solver_est" localSheetId="4" hidden="1">1</definedName>
    <definedName name="solver_est" localSheetId="5" hidden="1">1</definedName>
    <definedName name="solver_est" localSheetId="7" hidden="1">1</definedName>
    <definedName name="solver_est" localSheetId="8" hidden="1">1</definedName>
    <definedName name="solver_est" localSheetId="9" hidden="1">1</definedName>
    <definedName name="solver_est" localSheetId="0" hidden="1">1</definedName>
    <definedName name="solver_est" localSheetId="1" hidden="1">1</definedName>
    <definedName name="solver_est" localSheetId="2" hidden="1">1</definedName>
    <definedName name="solver_est" localSheetId="3" hidden="1">1</definedName>
    <definedName name="solver_itr" localSheetId="6" hidden="1">2147483647</definedName>
    <definedName name="solver_itr" localSheetId="10" hidden="1">100</definedName>
    <definedName name="solver_itr" localSheetId="4" hidden="1">2147483647</definedName>
    <definedName name="solver_itr" localSheetId="5" hidden="1">2147483647</definedName>
    <definedName name="solver_itr" localSheetId="7" hidden="1">100</definedName>
    <definedName name="solver_itr" localSheetId="8" hidden="1">100</definedName>
    <definedName name="solver_itr" localSheetId="9" hidden="1">2147483647</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lhs1" localSheetId="6" hidden="1">Arbitrage!$J$19:$J$25</definedName>
    <definedName name="solver_lhs1" localSheetId="10" hidden="1">'Computer Production'!$B$18</definedName>
    <definedName name="solver_lhs1" localSheetId="4" hidden="1">'Currency Arbitrage'!$G$11:$G$15</definedName>
    <definedName name="solver_lhs1" localSheetId="5" hidden="1">'Currency Example'!$G$10:$G$14</definedName>
    <definedName name="solver_lhs1" localSheetId="7" hidden="1">'Cutting board 1'!$G$15:$G$17</definedName>
    <definedName name="solver_lhs1" localSheetId="8" hidden="1">'Cutting board 2'!$F$14:$F$16</definedName>
    <definedName name="solver_lhs1" localSheetId="9" hidden="1">'Lease Terms'!$B$19:$B$23</definedName>
    <definedName name="solver_lhs1" localSheetId="0" hidden="1">'Problem 2'!$B$14:$B$19</definedName>
    <definedName name="solver_lhs1" localSheetId="1" hidden="1">'Problem 3'!$G$11:$G$13</definedName>
    <definedName name="solver_lhs1" localSheetId="2" hidden="1">'Problem 4'!$B$12:$C$18</definedName>
    <definedName name="solver_lhs1" localSheetId="3" hidden="1">'Problem 5'!$F$16:$F$19</definedName>
    <definedName name="solver_lhs10" localSheetId="10" hidden="1">'Computer Production'!$C$21</definedName>
    <definedName name="solver_lhs11" localSheetId="10" hidden="1">'Computer Production'!$C$22</definedName>
    <definedName name="solver_lhs12" localSheetId="10" hidden="1">'Computer Production'!$C$23</definedName>
    <definedName name="solver_lhs13" localSheetId="10" hidden="1">'Computer Production'!$B$27:$B$32</definedName>
    <definedName name="solver_lhs2" localSheetId="6" hidden="1">Arbitrage!$L$29</definedName>
    <definedName name="solver_lhs2" localSheetId="10" hidden="1">'Computer Production'!$B$19</definedName>
    <definedName name="solver_lhs2" localSheetId="4" hidden="1">'Currency Arbitrage'!$I$19</definedName>
    <definedName name="solver_lhs2" localSheetId="5" hidden="1">'Currency Example'!$G$19</definedName>
    <definedName name="solver_lhs2" localSheetId="9" hidden="1">'Lease Terms'!$D$14:$D$18</definedName>
    <definedName name="solver_lhs2" localSheetId="0" hidden="1">'Problem 2'!$F$14:$F$19</definedName>
    <definedName name="solver_lhs2" localSheetId="1" hidden="1">'Problem 3'!$G$14:$G$16</definedName>
    <definedName name="solver_lhs2" localSheetId="2" hidden="1">'Problem 4'!$G$15:$G$21</definedName>
    <definedName name="solver_lhs2" localSheetId="3" hidden="1">'Problem 5'!$F$20:$F$22</definedName>
    <definedName name="solver_lhs3" localSheetId="10" hidden="1">'Computer Production'!$B$20</definedName>
    <definedName name="solver_lhs3" localSheetId="4" hidden="1">'Currency Arbitrage'!#REF!</definedName>
    <definedName name="solver_lhs3" localSheetId="5" hidden="1">'Currency Example'!$G$19</definedName>
    <definedName name="solver_lhs3" localSheetId="0" hidden="1">'Problem 2'!$F$20:$F$22</definedName>
    <definedName name="solver_lhs3" localSheetId="1" hidden="1">'Problem 3'!$G$14:$G$16</definedName>
    <definedName name="solver_lhs3" localSheetId="2" hidden="1">'Problem 4'!$G$22:$G$29</definedName>
    <definedName name="solver_lhs4" localSheetId="10" hidden="1">'Computer Production'!$B$21</definedName>
    <definedName name="solver_lhs4" localSheetId="4" hidden="1">'Currency Arbitrage'!#REF!</definedName>
    <definedName name="solver_lhs4" localSheetId="1" hidden="1">'Problem 3'!$G$14:$G$16</definedName>
    <definedName name="solver_lhs5" localSheetId="10" hidden="1">'Computer Production'!$B$22</definedName>
    <definedName name="solver_lhs5" localSheetId="4" hidden="1">'Currency Arbitrage'!#REF!</definedName>
    <definedName name="solver_lhs6" localSheetId="10" hidden="1">'Computer Production'!$B$23</definedName>
    <definedName name="solver_lhs6" localSheetId="4" hidden="1">'Currency Arbitrage'!#REF!</definedName>
    <definedName name="solver_lhs7" localSheetId="10" hidden="1">'Computer Production'!$C$18</definedName>
    <definedName name="solver_lhs8" localSheetId="10" hidden="1">'Computer Production'!$C$19</definedName>
    <definedName name="solver_lhs9" localSheetId="10" hidden="1">'Computer Production'!$C$20</definedName>
    <definedName name="solver_lin" localSheetId="10" hidden="1">1</definedName>
    <definedName name="solver_lin" localSheetId="4" hidden="1">2</definedName>
    <definedName name="solver_lin" localSheetId="7" hidden="1">2</definedName>
    <definedName name="solver_lin" localSheetId="8" hidden="1">2</definedName>
    <definedName name="solver_lin" localSheetId="9" hidden="1">1</definedName>
    <definedName name="solver_mip" localSheetId="6" hidden="1">2147483647</definedName>
    <definedName name="solver_mip" localSheetId="10" hidden="1">2147483647</definedName>
    <definedName name="solver_mip" localSheetId="4" hidden="1">2147483647</definedName>
    <definedName name="solver_mip" localSheetId="5" hidden="1">2147483647</definedName>
    <definedName name="solver_mip" localSheetId="7" hidden="1">2147483647</definedName>
    <definedName name="solver_mip" localSheetId="8" hidden="1">2147483647</definedName>
    <definedName name="solver_mip" localSheetId="9" hidden="1">2147483647</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ni" localSheetId="6" hidden="1">30</definedName>
    <definedName name="solver_mni" localSheetId="10" hidden="1">30</definedName>
    <definedName name="solver_mni" localSheetId="4" hidden="1">30</definedName>
    <definedName name="solver_mni" localSheetId="5" hidden="1">30</definedName>
    <definedName name="solver_mni" localSheetId="7" hidden="1">30</definedName>
    <definedName name="solver_mni" localSheetId="8" hidden="1">30</definedName>
    <definedName name="solver_mni" localSheetId="9" hidden="1">30</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rt" localSheetId="6" hidden="1">0.075</definedName>
    <definedName name="solver_mrt" localSheetId="10" hidden="1">0.075</definedName>
    <definedName name="solver_mrt" localSheetId="4" hidden="1">0.075</definedName>
    <definedName name="solver_mrt" localSheetId="5" hidden="1">0.075</definedName>
    <definedName name="solver_mrt" localSheetId="7" hidden="1">0.075</definedName>
    <definedName name="solver_mrt" localSheetId="8" hidden="1">0.075</definedName>
    <definedName name="solver_mrt" localSheetId="9" hidden="1">0.075</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sl" localSheetId="6" hidden="1">2</definedName>
    <definedName name="solver_msl" localSheetId="10" hidden="1">2</definedName>
    <definedName name="solver_msl" localSheetId="4" hidden="1">2</definedName>
    <definedName name="solver_msl" localSheetId="5" hidden="1">2</definedName>
    <definedName name="solver_msl" localSheetId="7" hidden="1">2</definedName>
    <definedName name="solver_msl" localSheetId="8" hidden="1">2</definedName>
    <definedName name="solver_msl" localSheetId="9" hidden="1">2</definedName>
    <definedName name="solver_msl" localSheetId="0" hidden="1">2</definedName>
    <definedName name="solver_msl" localSheetId="1" hidden="1">2</definedName>
    <definedName name="solver_msl" localSheetId="2" hidden="1">2</definedName>
    <definedName name="solver_msl" localSheetId="3" hidden="1">2</definedName>
    <definedName name="solver_neg" localSheetId="6" hidden="1">1</definedName>
    <definedName name="solver_neg" localSheetId="10" hidden="1">1</definedName>
    <definedName name="solver_neg" localSheetId="4" hidden="1">1</definedName>
    <definedName name="solver_neg" localSheetId="5" hidden="1">1</definedName>
    <definedName name="solver_neg" localSheetId="7" hidden="1">1</definedName>
    <definedName name="solver_neg" localSheetId="8" hidden="1">1</definedName>
    <definedName name="solver_neg" localSheetId="9" hidden="1">1</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od" localSheetId="6" hidden="1">2147483647</definedName>
    <definedName name="solver_nod" localSheetId="10" hidden="1">2147483647</definedName>
    <definedName name="solver_nod" localSheetId="4" hidden="1">2147483647</definedName>
    <definedName name="solver_nod" localSheetId="5" hidden="1">2147483647</definedName>
    <definedName name="solver_nod" localSheetId="7" hidden="1">2147483647</definedName>
    <definedName name="solver_nod" localSheetId="8" hidden="1">2147483647</definedName>
    <definedName name="solver_nod" localSheetId="9" hidden="1">2147483647</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um" localSheetId="6" hidden="1">2</definedName>
    <definedName name="solver_num" localSheetId="10" hidden="1">13</definedName>
    <definedName name="solver_num" localSheetId="4" hidden="1">2</definedName>
    <definedName name="solver_num" localSheetId="5" hidden="1">2</definedName>
    <definedName name="solver_num" localSheetId="7" hidden="1">1</definedName>
    <definedName name="solver_num" localSheetId="8" hidden="1">1</definedName>
    <definedName name="solver_num" localSheetId="9" hidden="1">1</definedName>
    <definedName name="solver_num" localSheetId="0" hidden="1">3</definedName>
    <definedName name="solver_num" localSheetId="1" hidden="1">2</definedName>
    <definedName name="solver_num" localSheetId="2" hidden="1">3</definedName>
    <definedName name="solver_num" localSheetId="3" hidden="1">2</definedName>
    <definedName name="solver_nwt" localSheetId="6" hidden="1">1</definedName>
    <definedName name="solver_nwt" localSheetId="10" hidden="1">1</definedName>
    <definedName name="solver_nwt" localSheetId="4" hidden="1">1</definedName>
    <definedName name="solver_nwt" localSheetId="5" hidden="1">1</definedName>
    <definedName name="solver_nwt" localSheetId="7" hidden="1">1</definedName>
    <definedName name="solver_nwt" localSheetId="8" hidden="1">1</definedName>
    <definedName name="solver_nwt" localSheetId="9" hidden="1">1</definedName>
    <definedName name="solver_nwt" localSheetId="0" hidden="1">1</definedName>
    <definedName name="solver_nwt" localSheetId="1" hidden="1">1</definedName>
    <definedName name="solver_nwt" localSheetId="2" hidden="1">1</definedName>
    <definedName name="solver_nwt" localSheetId="3" hidden="1">1</definedName>
    <definedName name="solver_opt" localSheetId="6" hidden="1">Arbitrage!$J$29</definedName>
    <definedName name="solver_opt" localSheetId="10" hidden="1">'Computer Production'!$D$11</definedName>
    <definedName name="solver_opt" localSheetId="4" hidden="1">'Currency Arbitrage'!$G$19</definedName>
    <definedName name="solver_opt" localSheetId="5" hidden="1">'Currency Example'!$C$19</definedName>
    <definedName name="solver_opt" localSheetId="7" hidden="1">'Cutting board 1'!$H$11</definedName>
    <definedName name="solver_opt" localSheetId="8" hidden="1">'Cutting board 2'!$G$10</definedName>
    <definedName name="solver_opt" localSheetId="9" hidden="1">'Lease Terms'!$F$19</definedName>
    <definedName name="solver_opt" localSheetId="0" hidden="1">'Problem 2'!$I$11</definedName>
    <definedName name="solver_opt" localSheetId="1" hidden="1">'Problem 3'!$H$7</definedName>
    <definedName name="solver_opt" localSheetId="2" hidden="1">'Problem 4'!$G$11</definedName>
    <definedName name="solver_opt" localSheetId="3" hidden="1">'Problem 5'!$G$13</definedName>
    <definedName name="solver_pre" localSheetId="6" hidden="1">0.000001</definedName>
    <definedName name="solver_pre" localSheetId="10" hidden="1">0.000001</definedName>
    <definedName name="solver_pre" localSheetId="4" hidden="1">0.000001</definedName>
    <definedName name="solver_pre" localSheetId="5" hidden="1">0.000001</definedName>
    <definedName name="solver_pre" localSheetId="7" hidden="1">0.000001</definedName>
    <definedName name="solver_pre" localSheetId="8" hidden="1">0.000001</definedName>
    <definedName name="solver_pre" localSheetId="9" hidden="1">0.000001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rbv" localSheetId="6" hidden="1">1</definedName>
    <definedName name="solver_rbv" localSheetId="10" hidden="1">1</definedName>
    <definedName name="solver_rbv" localSheetId="4" hidden="1">1</definedName>
    <definedName name="solver_rbv" localSheetId="5" hidden="1">1</definedName>
    <definedName name="solver_rbv" localSheetId="7" hidden="1">1</definedName>
    <definedName name="solver_rbv" localSheetId="8" hidden="1">1</definedName>
    <definedName name="solver_rbv" localSheetId="9" hidden="1">1</definedName>
    <definedName name="solver_rbv" localSheetId="0" hidden="1">1</definedName>
    <definedName name="solver_rbv" localSheetId="1" hidden="1">1</definedName>
    <definedName name="solver_rbv" localSheetId="2" hidden="1">1</definedName>
    <definedName name="solver_rbv" localSheetId="3" hidden="1">2</definedName>
    <definedName name="solver_rel1" localSheetId="6" hidden="1">3</definedName>
    <definedName name="solver_rel1" localSheetId="10" hidden="1">1</definedName>
    <definedName name="solver_rel1" localSheetId="4" hidden="1">3</definedName>
    <definedName name="solver_rel1" localSheetId="5" hidden="1">3</definedName>
    <definedName name="solver_rel1" localSheetId="7" hidden="1">2</definedName>
    <definedName name="solver_rel1" localSheetId="8" hidden="1">3</definedName>
    <definedName name="solver_rel1" localSheetId="9" hidden="1">3</definedName>
    <definedName name="solver_rel1" localSheetId="0" hidden="1">4</definedName>
    <definedName name="solver_rel1" localSheetId="1" hidden="1">3</definedName>
    <definedName name="solver_rel1" localSheetId="2" hidden="1">4</definedName>
    <definedName name="solver_rel1" localSheetId="3" hidden="1">1</definedName>
    <definedName name="solver_rel10" localSheetId="10" hidden="1">1</definedName>
    <definedName name="solver_rel11" localSheetId="10" hidden="1">1</definedName>
    <definedName name="solver_rel12" localSheetId="10" hidden="1">1</definedName>
    <definedName name="solver_rel13" localSheetId="10" hidden="1">2</definedName>
    <definedName name="solver_rel2" localSheetId="6" hidden="1">1</definedName>
    <definedName name="solver_rel2" localSheetId="10" hidden="1">1</definedName>
    <definedName name="solver_rel2" localSheetId="4" hidden="1">1</definedName>
    <definedName name="solver_rel2" localSheetId="5" hidden="1">1</definedName>
    <definedName name="solver_rel2" localSheetId="9" hidden="1">3</definedName>
    <definedName name="solver_rel2" localSheetId="0" hidden="1">1</definedName>
    <definedName name="solver_rel2" localSheetId="1" hidden="1">1</definedName>
    <definedName name="solver_rel2" localSheetId="2" hidden="1">2</definedName>
    <definedName name="solver_rel2" localSheetId="3" hidden="1">3</definedName>
    <definedName name="solver_rel3" localSheetId="10" hidden="1">1</definedName>
    <definedName name="solver_rel3" localSheetId="4" hidden="1">1</definedName>
    <definedName name="solver_rel3" localSheetId="5" hidden="1">1</definedName>
    <definedName name="solver_rel3" localSheetId="0" hidden="1">3</definedName>
    <definedName name="solver_rel3" localSheetId="1" hidden="1">1</definedName>
    <definedName name="solver_rel3" localSheetId="2" hidden="1">3</definedName>
    <definedName name="solver_rel4" localSheetId="10" hidden="1">1</definedName>
    <definedName name="solver_rel4" localSheetId="4" hidden="1">1</definedName>
    <definedName name="solver_rel4" localSheetId="1" hidden="1">1</definedName>
    <definedName name="solver_rel5" localSheetId="10" hidden="1">1</definedName>
    <definedName name="solver_rel5" localSheetId="4" hidden="1">1</definedName>
    <definedName name="solver_rel6" localSheetId="10" hidden="1">1</definedName>
    <definedName name="solver_rel6" localSheetId="4" hidden="1">1</definedName>
    <definedName name="solver_rel7" localSheetId="10" hidden="1">1</definedName>
    <definedName name="solver_rel8" localSheetId="10" hidden="1">1</definedName>
    <definedName name="solver_rel9" localSheetId="10" hidden="1">1</definedName>
    <definedName name="solver_rhs1" localSheetId="6" hidden="1">Arbitrage!$L$19:$L$25</definedName>
    <definedName name="solver_rhs1" localSheetId="10" hidden="1">160</definedName>
    <definedName name="solver_rhs1" localSheetId="4" hidden="1">'Currency Arbitrage'!$I$11:$I$15</definedName>
    <definedName name="solver_rhs1" localSheetId="5" hidden="1">'Currency Example'!$I$10:$I$14</definedName>
    <definedName name="solver_rhs1" localSheetId="7" hidden="1">'Cutting board 1'!$I$15:$I$17</definedName>
    <definedName name="solver_rhs1" localSheetId="8" hidden="1">'Cutting board 2'!$H$14:$H$16</definedName>
    <definedName name="solver_rhs1" localSheetId="9" hidden="1">'Lease Terms'!$D$19:$D$23</definedName>
    <definedName name="solver_rhs1" localSheetId="0" hidden="1">integer</definedName>
    <definedName name="solver_rhs1" localSheetId="1" hidden="1">'Problem 3'!$I$11:$I$13</definedName>
    <definedName name="solver_rhs1" localSheetId="2" hidden="1">integer</definedName>
    <definedName name="solver_rhs1" localSheetId="3" hidden="1">'Problem 5'!$H$16:$H$19</definedName>
    <definedName name="solver_rhs10" localSheetId="10" hidden="1">50</definedName>
    <definedName name="solver_rhs11" localSheetId="10" hidden="1">50</definedName>
    <definedName name="solver_rhs12" localSheetId="10" hidden="1">50</definedName>
    <definedName name="solver_rhs13" localSheetId="10" hidden="1">'Computer Production'!$D$27:$D$32</definedName>
    <definedName name="solver_rhs2" localSheetId="6" hidden="1">Arbitrage!$N$29</definedName>
    <definedName name="solver_rhs2" localSheetId="10" hidden="1">160</definedName>
    <definedName name="solver_rhs2" localSheetId="4" hidden="1">'Currency Arbitrage'!$K$19</definedName>
    <definedName name="solver_rhs2" localSheetId="5" hidden="1">'Currency Example'!$I$19</definedName>
    <definedName name="solver_rhs2" localSheetId="9" hidden="1">'Lease Terms'!$F$14:$F$17</definedName>
    <definedName name="solver_rhs2" localSheetId="0" hidden="1">'Problem 2'!$H$14:$H$19</definedName>
    <definedName name="solver_rhs2" localSheetId="1" hidden="1">'Problem 3'!$I$14:$I$16</definedName>
    <definedName name="solver_rhs2" localSheetId="2" hidden="1">'Problem 4'!$I$15:$I$21</definedName>
    <definedName name="solver_rhs2" localSheetId="3" hidden="1">'Problem 5'!$H$20:$H$22</definedName>
    <definedName name="solver_rhs3" localSheetId="10" hidden="1">160</definedName>
    <definedName name="solver_rhs3" localSheetId="4" hidden="1">'Currency Arbitrage'!#REF!</definedName>
    <definedName name="solver_rhs3" localSheetId="5" hidden="1">'Currency Example'!$I$19</definedName>
    <definedName name="solver_rhs3" localSheetId="0" hidden="1">'Problem 2'!$H$20:$H$22</definedName>
    <definedName name="solver_rhs3" localSheetId="1" hidden="1">'Problem 3'!$I$14:$I$16</definedName>
    <definedName name="solver_rhs3" localSheetId="2" hidden="1">'Problem 4'!$I$22:$I$29</definedName>
    <definedName name="solver_rhs4" localSheetId="10" hidden="1">160</definedName>
    <definedName name="solver_rhs4" localSheetId="4" hidden="1">'Currency Arbitrage'!#REF!</definedName>
    <definedName name="solver_rhs4" localSheetId="1" hidden="1">'Problem 3'!$I$14:$I$16</definedName>
    <definedName name="solver_rhs5" localSheetId="10" hidden="1">160</definedName>
    <definedName name="solver_rhs5" localSheetId="4" hidden="1">'Currency Arbitrage'!#REF!</definedName>
    <definedName name="solver_rhs6" localSheetId="10" hidden="1">160</definedName>
    <definedName name="solver_rhs6" localSheetId="4" hidden="1">'Currency Arbitrage'!#REF!</definedName>
    <definedName name="solver_rhs7" localSheetId="10" hidden="1">50</definedName>
    <definedName name="solver_rhs8" localSheetId="10" hidden="1">50</definedName>
    <definedName name="solver_rhs9" localSheetId="10" hidden="1">50</definedName>
    <definedName name="solver_rlx" localSheetId="6" hidden="1">2</definedName>
    <definedName name="solver_rlx" localSheetId="10" hidden="1">1</definedName>
    <definedName name="solver_rlx" localSheetId="4" hidden="1">2</definedName>
    <definedName name="solver_rlx" localSheetId="5" hidden="1">2</definedName>
    <definedName name="solver_rlx" localSheetId="7" hidden="1">1</definedName>
    <definedName name="solver_rlx" localSheetId="8" hidden="1">1</definedName>
    <definedName name="solver_rlx" localSheetId="9" hidden="1">2</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sd" localSheetId="6" hidden="1">0</definedName>
    <definedName name="solver_rsd" localSheetId="10" hidden="1">0</definedName>
    <definedName name="solver_rsd" localSheetId="4" hidden="1">0</definedName>
    <definedName name="solver_rsd" localSheetId="5" hidden="1">0</definedName>
    <definedName name="solver_rsd" localSheetId="7" hidden="1">0</definedName>
    <definedName name="solver_rsd" localSheetId="8" hidden="1">0</definedName>
    <definedName name="solver_rsd" localSheetId="9" hidden="1">0</definedName>
    <definedName name="solver_rsd" localSheetId="0" hidden="1">0</definedName>
    <definedName name="solver_rsd" localSheetId="1" hidden="1">0</definedName>
    <definedName name="solver_rsd" localSheetId="2" hidden="1">0</definedName>
    <definedName name="solver_rsd" localSheetId="3" hidden="1">0</definedName>
    <definedName name="solver_scl" localSheetId="6" hidden="1">1</definedName>
    <definedName name="solver_scl" localSheetId="10" hidden="1">2</definedName>
    <definedName name="solver_scl" localSheetId="4" hidden="1">1</definedName>
    <definedName name="solver_scl" localSheetId="5" hidden="1">1</definedName>
    <definedName name="solver_scl" localSheetId="7" hidden="1">2</definedName>
    <definedName name="solver_scl" localSheetId="8" hidden="1">2</definedName>
    <definedName name="solver_scl" localSheetId="9" hidden="1">1</definedName>
    <definedName name="solver_scl" localSheetId="0" hidden="1">1</definedName>
    <definedName name="solver_scl" localSheetId="1" hidden="1">1</definedName>
    <definedName name="solver_scl" localSheetId="2" hidden="1">1</definedName>
    <definedName name="solver_scl" localSheetId="3" hidden="1">2</definedName>
    <definedName name="solver_sho" localSheetId="6" hidden="1">2</definedName>
    <definedName name="solver_sho" localSheetId="10" hidden="1">2</definedName>
    <definedName name="solver_sho" localSheetId="4" hidden="1">2</definedName>
    <definedName name="solver_sho" localSheetId="5" hidden="1">2</definedName>
    <definedName name="solver_sho" localSheetId="7" hidden="1">2</definedName>
    <definedName name="solver_sho" localSheetId="8" hidden="1">2</definedName>
    <definedName name="solver_sho" localSheetId="9"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sz" localSheetId="6" hidden="1">100</definedName>
    <definedName name="solver_ssz" localSheetId="10" hidden="1">100</definedName>
    <definedName name="solver_ssz" localSheetId="4" hidden="1">100</definedName>
    <definedName name="solver_ssz" localSheetId="5" hidden="1">100</definedName>
    <definedName name="solver_ssz" localSheetId="7" hidden="1">100</definedName>
    <definedName name="solver_ssz" localSheetId="8" hidden="1">100</definedName>
    <definedName name="solver_ssz" localSheetId="9" hidden="1">100</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tim" localSheetId="6" hidden="1">2147483647</definedName>
    <definedName name="solver_tim" localSheetId="10" hidden="1">100</definedName>
    <definedName name="solver_tim" localSheetId="4" hidden="1">2147483647</definedName>
    <definedName name="solver_tim" localSheetId="5" hidden="1">2147483647</definedName>
    <definedName name="solver_tim" localSheetId="7" hidden="1">100</definedName>
    <definedName name="solver_tim" localSheetId="8" hidden="1">100</definedName>
    <definedName name="solver_tim" localSheetId="9" hidden="1">2147483647</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ol" localSheetId="6" hidden="1">0.01</definedName>
    <definedName name="solver_tol" localSheetId="10" hidden="1">0.05</definedName>
    <definedName name="solver_tol" localSheetId="4" hidden="1">0.01</definedName>
    <definedName name="solver_tol" localSheetId="5" hidden="1">0.01</definedName>
    <definedName name="solver_tol" localSheetId="7" hidden="1">0.05</definedName>
    <definedName name="solver_tol" localSheetId="8" hidden="1">0.05</definedName>
    <definedName name="solver_tol" localSheetId="9" hidden="1">0.01</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yp" localSheetId="6" hidden="1">1</definedName>
    <definedName name="solver_typ" localSheetId="10" hidden="1">2</definedName>
    <definedName name="solver_typ" localSheetId="4" hidden="1">1</definedName>
    <definedName name="solver_typ" localSheetId="5" hidden="1">1</definedName>
    <definedName name="solver_typ" localSheetId="7" hidden="1">2</definedName>
    <definedName name="solver_typ" localSheetId="8" hidden="1">2</definedName>
    <definedName name="solver_typ" localSheetId="9" hidden="1">2</definedName>
    <definedName name="solver_typ" localSheetId="0" hidden="1">2</definedName>
    <definedName name="solver_typ" localSheetId="1" hidden="1">1</definedName>
    <definedName name="solver_typ" localSheetId="2" hidden="1">2</definedName>
    <definedName name="solver_typ" localSheetId="3" hidden="1">2</definedName>
    <definedName name="solver_val" localSheetId="6" hidden="1">0</definedName>
    <definedName name="solver_val" localSheetId="10" hidden="1">0</definedName>
    <definedName name="solver_val" localSheetId="4" hidden="1">0</definedName>
    <definedName name="solver_val" localSheetId="5" hidden="1">0</definedName>
    <definedName name="solver_val" localSheetId="7" hidden="1">0</definedName>
    <definedName name="solver_val" localSheetId="8" hidden="1">0</definedName>
    <definedName name="solver_val" localSheetId="9" hidden="1">0</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er" localSheetId="6" hidden="1">3</definedName>
    <definedName name="solver_ver" localSheetId="10" hidden="1">3</definedName>
    <definedName name="solver_ver" localSheetId="4" hidden="1">3</definedName>
    <definedName name="solver_ver" localSheetId="5" hidden="1">3</definedName>
    <definedName name="solver_ver" localSheetId="7" hidden="1">3</definedName>
    <definedName name="solver_ver" localSheetId="8" hidden="1">3</definedName>
    <definedName name="solver_ver" localSheetId="9" hidden="1">3</definedName>
    <definedName name="solver_ver" localSheetId="0" hidden="1">3</definedName>
    <definedName name="solver_ver" localSheetId="1" hidden="1">3</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2" i="3" l="1"/>
  <c r="G22" i="3"/>
  <c r="G14" i="5" l="1"/>
  <c r="H7" i="2" l="1"/>
  <c r="D11" i="10"/>
  <c r="B32" i="10"/>
  <c r="B27" i="10"/>
  <c r="B22" i="9"/>
  <c r="B21" i="9"/>
  <c r="B19" i="9"/>
  <c r="H11" i="11" l="1"/>
  <c r="G10" i="8"/>
  <c r="G17" i="11"/>
  <c r="G16" i="11"/>
  <c r="G15" i="11"/>
  <c r="G11" i="5"/>
  <c r="G19" i="5" s="1"/>
  <c r="B16" i="5"/>
  <c r="G9" i="4"/>
  <c r="G8" i="4"/>
  <c r="I27" i="3" l="1"/>
  <c r="G27" i="3"/>
  <c r="G28" i="3"/>
  <c r="G26" i="3"/>
  <c r="K19" i="5" l="1"/>
  <c r="I15" i="11"/>
  <c r="I16" i="11"/>
  <c r="I17" i="11"/>
  <c r="G12" i="4" l="1"/>
  <c r="G11" i="4"/>
  <c r="G10" i="4"/>
  <c r="F21" i="4"/>
  <c r="F22" i="4"/>
  <c r="F20" i="4"/>
  <c r="F19" i="4"/>
  <c r="F18" i="4"/>
  <c r="F17" i="4"/>
  <c r="F16" i="4"/>
  <c r="G7" i="4"/>
  <c r="G6" i="4"/>
  <c r="G4" i="4"/>
  <c r="G5" i="4"/>
  <c r="G13" i="4" l="1"/>
  <c r="I29" i="3"/>
  <c r="G29" i="3"/>
  <c r="I28" i="3"/>
  <c r="I26" i="3"/>
  <c r="I25" i="3"/>
  <c r="I24" i="3"/>
  <c r="G25" i="3"/>
  <c r="G24" i="3"/>
  <c r="I23" i="3"/>
  <c r="G23" i="3"/>
  <c r="G21" i="3"/>
  <c r="G20" i="3"/>
  <c r="G19" i="3"/>
  <c r="G18" i="3"/>
  <c r="G17" i="3"/>
  <c r="G16" i="3"/>
  <c r="G15" i="3"/>
  <c r="G11" i="3"/>
  <c r="B31" i="10" l="1"/>
  <c r="B30" i="10"/>
  <c r="B29" i="10"/>
  <c r="B28" i="10"/>
  <c r="B23" i="9"/>
  <c r="B20" i="9"/>
  <c r="G15" i="9"/>
  <c r="G14" i="9"/>
  <c r="G16" i="9" s="1"/>
  <c r="G13" i="9"/>
  <c r="G12" i="9"/>
  <c r="F19" i="9"/>
  <c r="G11" i="9"/>
  <c r="H16" i="8"/>
  <c r="F16" i="8"/>
  <c r="H15" i="8"/>
  <c r="F15" i="8"/>
  <c r="H14" i="8"/>
  <c r="F14" i="8"/>
  <c r="I26" i="7" l="1"/>
  <c r="L25" i="7" s="1"/>
  <c r="H26" i="7"/>
  <c r="G26" i="7"/>
  <c r="L23" i="7" s="1"/>
  <c r="F26" i="7"/>
  <c r="E26" i="7"/>
  <c r="L21" i="7" s="1"/>
  <c r="D26" i="7"/>
  <c r="L20" i="7" s="1"/>
  <c r="C26" i="7"/>
  <c r="J25" i="7"/>
  <c r="L24" i="7"/>
  <c r="J24" i="7"/>
  <c r="J23" i="7"/>
  <c r="L22" i="7"/>
  <c r="J22" i="7"/>
  <c r="J21" i="7"/>
  <c r="J20" i="7"/>
  <c r="L19" i="7"/>
  <c r="L29" i="7" s="1"/>
  <c r="J19" i="7"/>
  <c r="J29" i="7" s="1"/>
  <c r="F15" i="6"/>
  <c r="E15" i="6"/>
  <c r="I13" i="6" s="1"/>
  <c r="D15" i="6"/>
  <c r="I12" i="6" s="1"/>
  <c r="I14" i="6"/>
  <c r="G14" i="6"/>
  <c r="G13" i="6"/>
  <c r="G12" i="6"/>
  <c r="G11" i="6"/>
  <c r="G10" i="6"/>
  <c r="C19" i="6" s="1"/>
  <c r="E6" i="6"/>
  <c r="D6" i="6"/>
  <c r="C6" i="6"/>
  <c r="B6" i="6"/>
  <c r="D5" i="6"/>
  <c r="C5" i="6"/>
  <c r="C15" i="6" s="1"/>
  <c r="I11" i="6" s="1"/>
  <c r="B5" i="6"/>
  <c r="B15" i="6" s="1"/>
  <c r="I10" i="6" s="1"/>
  <c r="G19" i="6" s="1"/>
  <c r="C4" i="6"/>
  <c r="B4" i="6"/>
  <c r="B3" i="6"/>
  <c r="F16" i="5"/>
  <c r="I15" i="5" s="1"/>
  <c r="E16" i="5"/>
  <c r="I14" i="5" s="1"/>
  <c r="G15" i="5"/>
  <c r="G13" i="5"/>
  <c r="G12" i="5"/>
  <c r="E6" i="5"/>
  <c r="D6" i="5"/>
  <c r="C6" i="5"/>
  <c r="B6" i="5"/>
  <c r="D5" i="5"/>
  <c r="D16" i="5" s="1"/>
  <c r="I13" i="5" s="1"/>
  <c r="C5" i="5"/>
  <c r="C16" i="5" s="1"/>
  <c r="I12" i="5" s="1"/>
  <c r="B5" i="5"/>
  <c r="C4" i="5"/>
  <c r="B4" i="5"/>
  <c r="B3" i="5"/>
  <c r="I11" i="5" s="1"/>
  <c r="I19" i="5" s="1"/>
  <c r="G16" i="2" l="1"/>
  <c r="G15" i="2"/>
  <c r="G14" i="2"/>
  <c r="I13" i="2"/>
  <c r="G13" i="2"/>
  <c r="I12" i="2"/>
  <c r="G12" i="2"/>
  <c r="I11" i="2"/>
  <c r="G11" i="2"/>
  <c r="F15" i="1" l="1"/>
  <c r="F16" i="1"/>
  <c r="F17" i="1"/>
  <c r="F18" i="1"/>
  <c r="F19" i="1"/>
  <c r="F14" i="1"/>
  <c r="H22" i="1"/>
  <c r="F22" i="1"/>
  <c r="H21" i="1"/>
  <c r="F21" i="1"/>
  <c r="H20" i="1"/>
  <c r="F20" i="1"/>
  <c r="I11" i="1"/>
</calcChain>
</file>

<file path=xl/sharedStrings.xml><?xml version="1.0" encoding="utf-8"?>
<sst xmlns="http://schemas.openxmlformats.org/spreadsheetml/2006/main" count="399" uniqueCount="166">
  <si>
    <t>Food</t>
  </si>
  <si>
    <t>Oat meal</t>
  </si>
  <si>
    <t>Chicken</t>
  </si>
  <si>
    <t>Eggs</t>
  </si>
  <si>
    <t>Whole milk</t>
  </si>
  <si>
    <t>Cherry pie</t>
  </si>
  <si>
    <t>Pork with beans</t>
  </si>
  <si>
    <t>Serving size</t>
  </si>
  <si>
    <t>Energy</t>
  </si>
  <si>
    <t>Protein</t>
  </si>
  <si>
    <t>Calcium</t>
  </si>
  <si>
    <t>Price per serving</t>
  </si>
  <si>
    <t>Serving limit</t>
  </si>
  <si>
    <t>Decision variables</t>
  </si>
  <si>
    <t>No. of servings</t>
  </si>
  <si>
    <t>Objective function</t>
  </si>
  <si>
    <t>Constraints</t>
  </si>
  <si>
    <t>&lt;=</t>
  </si>
  <si>
    <t>&gt;=</t>
  </si>
  <si>
    <t>A</t>
  </si>
  <si>
    <t>B</t>
  </si>
  <si>
    <t>C</t>
  </si>
  <si>
    <t>Supply</t>
  </si>
  <si>
    <t>Plant 1</t>
  </si>
  <si>
    <t>Plant 2</t>
  </si>
  <si>
    <t>Plant 3</t>
  </si>
  <si>
    <t>Demand</t>
  </si>
  <si>
    <t xml:space="preserve">Decision variables </t>
  </si>
  <si>
    <t># tons from plants to sites</t>
  </si>
  <si>
    <t>Activity</t>
  </si>
  <si>
    <t>Description</t>
  </si>
  <si>
    <t>Requires</t>
  </si>
  <si>
    <t>Duration</t>
  </si>
  <si>
    <t>D</t>
  </si>
  <si>
    <t>E</t>
  </si>
  <si>
    <t>F</t>
  </si>
  <si>
    <t>G</t>
  </si>
  <si>
    <t>Train workers</t>
  </si>
  <si>
    <t>Purchase materials</t>
  </si>
  <si>
    <t>Make subassembly 1</t>
  </si>
  <si>
    <t>Make subassembly 2</t>
  </si>
  <si>
    <t>Inspect subassembly 2</t>
  </si>
  <si>
    <t>Combine subassemblies</t>
  </si>
  <si>
    <t>Subassembly 2 safety report</t>
  </si>
  <si>
    <t>A,B</t>
  </si>
  <si>
    <t>C,E</t>
  </si>
  <si>
    <t xml:space="preserve">Dollar </t>
  </si>
  <si>
    <t xml:space="preserve">Euro </t>
  </si>
  <si>
    <t xml:space="preserve">Pound </t>
  </si>
  <si>
    <t xml:space="preserve">Yen </t>
  </si>
  <si>
    <t xml:space="preserve">Dinar </t>
  </si>
  <si>
    <t>Max</t>
  </si>
  <si>
    <t>Total Dollar</t>
  </si>
  <si>
    <t>Obtained</t>
  </si>
  <si>
    <t>Spend</t>
  </si>
  <si>
    <t>New</t>
  </si>
  <si>
    <t>Old</t>
  </si>
  <si>
    <t>Converted</t>
  </si>
  <si>
    <t>Conversion Rates</t>
  </si>
  <si>
    <t>Currency Sold</t>
  </si>
  <si>
    <t>U.S. $</t>
  </si>
  <si>
    <t>¥en</t>
  </si>
  <si>
    <t>Euro</t>
  </si>
  <si>
    <t>Can $</t>
  </si>
  <si>
    <t>U.K. £</t>
  </si>
  <si>
    <t>Aust $</t>
  </si>
  <si>
    <t>SFranc</t>
  </si>
  <si>
    <t>Currency Purchased</t>
  </si>
  <si>
    <t>Conversion Plan</t>
  </si>
  <si>
    <t>Spent</t>
  </si>
  <si>
    <t>Cutting Scheme</t>
  </si>
  <si>
    <t>7 ft</t>
  </si>
  <si>
    <t>9 ft</t>
  </si>
  <si>
    <t>10 ft</t>
  </si>
  <si>
    <t>Waste</t>
  </si>
  <si>
    <t>Length</t>
  </si>
  <si>
    <t>Orders</t>
  </si>
  <si>
    <t>Obj Func</t>
  </si>
  <si>
    <t>Dec Variable</t>
  </si>
  <si>
    <t>Scheme S1</t>
  </si>
  <si>
    <t>S2</t>
  </si>
  <si>
    <t>S3</t>
  </si>
  <si>
    <t>S4</t>
  </si>
  <si>
    <t>S5</t>
  </si>
  <si>
    <t>S6</t>
  </si>
  <si>
    <t>How does this affect the solution?</t>
  </si>
  <si>
    <t>The part a of the problem focused more on reducing the number of boards while this part asked us to minimize the waste. So, the constraints had to be adjusted according to ask and the solution is to use 300 S3 boards and 600 S4 boards to minimize wastage.</t>
  </si>
  <si>
    <t xml:space="preserve">Month </t>
  </si>
  <si>
    <t xml:space="preserve">Required Space </t>
  </si>
  <si>
    <t xml:space="preserve">Leasing Period </t>
  </si>
  <si>
    <t xml:space="preserve">Cost per Sq. Ft. </t>
  </si>
  <si>
    <t xml:space="preserve">1 month </t>
  </si>
  <si>
    <t xml:space="preserve">2 months </t>
  </si>
  <si>
    <t xml:space="preserve">3 months </t>
  </si>
  <si>
    <t xml:space="preserve">4 months </t>
  </si>
  <si>
    <t xml:space="preserve">5 months </t>
  </si>
  <si>
    <t># sq ft of leasing term</t>
  </si>
  <si>
    <t>Month 1</t>
  </si>
  <si>
    <t>Month 2</t>
  </si>
  <si>
    <t>Month 3</t>
  </si>
  <si>
    <t>Month 4</t>
  </si>
  <si>
    <t>Month 5</t>
  </si>
  <si>
    <t>Leasing 1 month</t>
  </si>
  <si>
    <t>Leasing 2 months</t>
  </si>
  <si>
    <t>Leasing 3 months</t>
  </si>
  <si>
    <t>Leasing 4 months</t>
  </si>
  <si>
    <t>Leasing 5 months</t>
  </si>
  <si>
    <t xml:space="preserve">Week </t>
  </si>
  <si>
    <t xml:space="preserve">Computer Orders </t>
  </si>
  <si>
    <t>Regular capacity</t>
  </si>
  <si>
    <t>Minimize</t>
  </si>
  <si>
    <t>Overtime capacity</t>
  </si>
  <si>
    <t>Regular cost</t>
  </si>
  <si>
    <t>Overtime cost</t>
  </si>
  <si>
    <t>Inventory cost</t>
  </si>
  <si>
    <t>=</t>
  </si>
  <si>
    <t># of computer produced</t>
  </si>
  <si>
    <t>Decision Variables</t>
  </si>
  <si>
    <t>Total</t>
  </si>
  <si>
    <t>Regular</t>
  </si>
  <si>
    <t>Overtime</t>
  </si>
  <si>
    <t>Inventory</t>
  </si>
  <si>
    <t>B18,B19,B20,B21,B22,B23</t>
  </si>
  <si>
    <t>C18,C19,C20,C21,C22,C23,</t>
  </si>
  <si>
    <t xml:space="preserve">  </t>
  </si>
  <si>
    <t>Decision variables\</t>
  </si>
  <si>
    <t>Start</t>
  </si>
  <si>
    <t>End</t>
  </si>
  <si>
    <t>Shipping cost to Boise</t>
  </si>
  <si>
    <t>Shipping cost to TX</t>
  </si>
  <si>
    <t>From Blue mesa</t>
  </si>
  <si>
    <t>From dry pass</t>
  </si>
  <si>
    <t>Shipping cost from Boise</t>
  </si>
  <si>
    <t>Shipping cost from TX</t>
  </si>
  <si>
    <t>To galvanic</t>
  </si>
  <si>
    <t>To munchco</t>
  </si>
  <si>
    <t>To american</t>
  </si>
  <si>
    <t>Glavanic reqt</t>
  </si>
  <si>
    <t>Munchco reqt</t>
  </si>
  <si>
    <t>American reqt</t>
  </si>
  <si>
    <t>Blue mesa produce</t>
  </si>
  <si>
    <t>Dry pass produce</t>
  </si>
  <si>
    <t>$12/ton</t>
  </si>
  <si>
    <t>$10/ton</t>
  </si>
  <si>
    <t>Decision Variable</t>
  </si>
  <si>
    <t>Boise plant</t>
  </si>
  <si>
    <t>Texas plant</t>
  </si>
  <si>
    <t>$17/ton</t>
  </si>
  <si>
    <t>$15/ton</t>
  </si>
  <si>
    <t>From Blue mesa to Boise</t>
  </si>
  <si>
    <t>From Blue Mesa to TX</t>
  </si>
  <si>
    <t>From Dry pass to Boise</t>
  </si>
  <si>
    <t>From dry pass to TX</t>
  </si>
  <si>
    <t>Production cost</t>
  </si>
  <si>
    <t>Blue mesa</t>
  </si>
  <si>
    <t>Dry pass</t>
  </si>
  <si>
    <t>Boise</t>
  </si>
  <si>
    <t>TX</t>
  </si>
  <si>
    <t>Process cost</t>
  </si>
  <si>
    <t>Shipping cost</t>
  </si>
  <si>
    <t>To Boise</t>
  </si>
  <si>
    <t>To TX</t>
  </si>
  <si>
    <t>Boise prod</t>
  </si>
  <si>
    <t>TX produce</t>
  </si>
  <si>
    <t>Galvanic reqt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</si>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</sst>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1">
    <font>
      <sz val="11"/>
      <color theme="1"/>
      <name val="Calibri"/>
      <family val="2"/>
      <scheme val="minor"/>
    </font>
    <font>
      <b/>
      <sz val="11"/>
      <color theme="1"/>
      <name val="Calibri"/>
      <family val="2"/>
      <scheme val="minor"/>
    </font>
    <font>
      <b/>
      <sz val="11"/>
      <color rgb="FFFFFFFF"/>
      <name val="Century Schoolbook"/>
      <family val="1"/>
    </font>
    <font>
      <sz val="11"/>
      <color theme="1"/>
      <name val="Century Schoolbook"/>
      <family val="1"/>
    </font>
    <font>
      <sz val="11"/>
      <color rgb="FF000000"/>
      <name val="Century Schoolbook"/>
      <family val="1"/>
    </font>
    <font>
      <b/>
      <sz val="11"/>
      <color theme="1"/>
      <name val="Century Schoolbook"/>
      <family val="1"/>
    </font>
    <font>
      <b/>
      <i/>
      <sz val="10"/>
      <name val="Arial"/>
      <family val="2"/>
    </font>
    <font>
      <b/>
      <i/>
      <sz val="10"/>
      <color rgb="FF0070C0"/>
      <name val="Arial"/>
      <family val="2"/>
    </font>
    <font>
      <b/>
      <sz val="10"/>
      <name val="Arial"/>
      <family val="2"/>
    </font>
    <font>
      <b/>
      <sz val="12"/>
      <color theme="1"/>
      <name val="Calibri"/>
      <family val="2"/>
      <scheme val="minor"/>
    </font>
    <font>
      <b/>
      <sz val="10"/>
      <color rgb="FF0070C0"/>
      <name val="Arial"/>
      <family val="2"/>
    </font>
  </fonts>
  <fills count="13">
    <fill>
      <patternFill patternType="none"/>
    </fill>
    <fill>
      <patternFill patternType="gray125"/>
    </fill>
    <fill>
      <patternFill patternType="solid">
        <fgColor rgb="FFFFFF00"/>
        <bgColor indexed="64"/>
      </patternFill>
    </fill>
    <fill>
      <patternFill patternType="solid">
        <fgColor rgb="FF72A376"/>
        <bgColor indexed="64"/>
      </patternFill>
    </fill>
    <fill>
      <patternFill patternType="solid">
        <fgColor rgb="FFD5E0D6"/>
        <bgColor indexed="64"/>
      </patternFill>
    </fill>
    <fill>
      <patternFill patternType="solid">
        <fgColor rgb="FFEBF0EC"/>
        <bgColor indexed="64"/>
      </patternFill>
    </fill>
    <fill>
      <patternFill patternType="solid">
        <fgColor rgb="FF92D050"/>
        <bgColor indexed="64"/>
      </patternFill>
    </fill>
    <fill>
      <patternFill patternType="solid">
        <fgColor theme="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B83D68"/>
        <bgColor indexed="64"/>
      </patternFill>
    </fill>
    <fill>
      <patternFill patternType="solid">
        <fgColor rgb="FFE6CED4"/>
        <bgColor indexed="64"/>
      </patternFill>
    </fill>
    <fill>
      <patternFill patternType="solid">
        <fgColor rgb="FFF3E8EB"/>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style="thin">
        <color indexed="64"/>
      </left>
      <right/>
      <top/>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0" fontId="0" fillId="0" borderId="1" xfId="0" applyBorder="1"/>
    <xf numFmtId="0" fontId="1" fillId="0" borderId="1" xfId="0" applyFont="1" applyBorder="1"/>
    <xf numFmtId="0" fontId="1" fillId="2" borderId="1" xfId="0" applyFont="1" applyFill="1" applyBorder="1"/>
    <xf numFmtId="0" fontId="2" fillId="3" borderId="2" xfId="0" applyFont="1" applyFill="1" applyBorder="1" applyAlignment="1">
      <alignment vertical="top" wrapText="1"/>
    </xf>
    <xf numFmtId="0" fontId="2" fillId="3" borderId="2" xfId="0" applyFont="1" applyFill="1" applyBorder="1" applyAlignment="1">
      <alignment horizontal="left" vertical="top" wrapText="1" readingOrder="1"/>
    </xf>
    <xf numFmtId="0" fontId="2" fillId="3" borderId="2" xfId="0" applyFont="1" applyFill="1" applyBorder="1" applyAlignment="1">
      <alignment horizontal="right" vertical="top" wrapText="1" readingOrder="1"/>
    </xf>
    <xf numFmtId="0" fontId="3" fillId="0" borderId="0" xfId="0" applyFont="1"/>
    <xf numFmtId="0" fontId="4" fillId="4" borderId="3" xfId="0" applyFont="1" applyFill="1" applyBorder="1" applyAlignment="1">
      <alignment horizontal="left" vertical="top" wrapText="1" readingOrder="1"/>
    </xf>
    <xf numFmtId="4" fontId="4" fillId="4" borderId="3" xfId="0" applyNumberFormat="1" applyFont="1" applyFill="1" applyBorder="1" applyAlignment="1">
      <alignment horizontal="right" vertical="top" wrapText="1" readingOrder="1"/>
    </xf>
    <xf numFmtId="0" fontId="4" fillId="5" borderId="4" xfId="0" applyFont="1" applyFill="1" applyBorder="1" applyAlignment="1">
      <alignment horizontal="left" vertical="top" wrapText="1" readingOrder="1"/>
    </xf>
    <xf numFmtId="4" fontId="4" fillId="5" borderId="4" xfId="0" applyNumberFormat="1" applyFont="1" applyFill="1" applyBorder="1" applyAlignment="1">
      <alignment horizontal="right" vertical="top" wrapText="1" readingOrder="1"/>
    </xf>
    <xf numFmtId="0" fontId="4" fillId="4" borderId="4" xfId="0" applyFont="1" applyFill="1" applyBorder="1" applyAlignment="1">
      <alignment horizontal="left" vertical="top" wrapText="1" readingOrder="1"/>
    </xf>
    <xf numFmtId="4" fontId="4" fillId="4" borderId="4" xfId="0" applyNumberFormat="1" applyFont="1" applyFill="1" applyBorder="1" applyAlignment="1">
      <alignment horizontal="right" vertical="top" wrapText="1" readingOrder="1"/>
    </xf>
    <xf numFmtId="6" fontId="3" fillId="0" borderId="0" xfId="0" applyNumberFormat="1" applyFont="1"/>
    <xf numFmtId="0" fontId="5" fillId="0" borderId="0" xfId="0" applyFont="1"/>
    <xf numFmtId="15" fontId="6" fillId="0" borderId="0" xfId="0" applyNumberFormat="1" applyFont="1"/>
    <xf numFmtId="0" fontId="8"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10" fillId="0" borderId="0" xfId="0" applyFont="1" applyAlignment="1">
      <alignment horizontal="center"/>
    </xf>
    <xf numFmtId="0" fontId="0" fillId="2" borderId="5" xfId="0" applyFill="1" applyBorder="1"/>
    <xf numFmtId="0" fontId="0" fillId="2" borderId="6" xfId="0" applyFill="1" applyBorder="1"/>
    <xf numFmtId="0" fontId="0" fillId="2" borderId="7" xfId="0" applyFill="1" applyBorder="1"/>
    <xf numFmtId="0" fontId="0" fillId="6" borderId="0" xfId="0" applyFill="1"/>
    <xf numFmtId="0" fontId="0" fillId="7" borderId="0" xfId="0" applyFill="1"/>
    <xf numFmtId="0" fontId="0" fillId="2" borderId="8" xfId="0" applyFill="1" applyBorder="1"/>
    <xf numFmtId="0" fontId="0" fillId="2" borderId="0" xfId="0" applyFill="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3" fontId="0" fillId="0" borderId="0" xfId="0" applyNumberFormat="1"/>
    <xf numFmtId="0" fontId="1" fillId="0" borderId="0" xfId="0" applyFont="1"/>
    <xf numFmtId="0" fontId="0" fillId="8" borderId="1" xfId="0" applyFill="1" applyBorder="1"/>
    <xf numFmtId="3" fontId="0" fillId="0" borderId="1" xfId="0" applyNumberFormat="1" applyBorder="1"/>
    <xf numFmtId="0" fontId="0" fillId="0" borderId="0" xfId="0" applyAlignment="1">
      <alignment horizontal="center" wrapText="1"/>
    </xf>
    <xf numFmtId="0" fontId="0" fillId="9" borderId="0" xfId="0" applyFill="1" applyAlignment="1">
      <alignment horizontal="left" wrapText="1"/>
    </xf>
    <xf numFmtId="0" fontId="2" fillId="10" borderId="2" xfId="0" applyFont="1" applyFill="1" applyBorder="1" applyAlignment="1">
      <alignment horizontal="left" vertical="top" wrapText="1" readingOrder="1"/>
    </xf>
    <xf numFmtId="0" fontId="2" fillId="10" borderId="2" xfId="0" applyFont="1" applyFill="1" applyBorder="1" applyAlignment="1">
      <alignment horizontal="right" vertical="top" wrapText="1" indent="1" readingOrder="1"/>
    </xf>
    <xf numFmtId="0" fontId="4" fillId="11" borderId="3" xfId="0" applyFont="1" applyFill="1" applyBorder="1" applyAlignment="1">
      <alignment horizontal="left" vertical="top" wrapText="1" readingOrder="1"/>
    </xf>
    <xf numFmtId="3" fontId="4" fillId="11" borderId="3" xfId="0" applyNumberFormat="1" applyFont="1" applyFill="1" applyBorder="1" applyAlignment="1">
      <alignment horizontal="left" vertical="top" wrapText="1" readingOrder="1"/>
    </xf>
    <xf numFmtId="6" fontId="4" fillId="11" borderId="3" xfId="0" applyNumberFormat="1" applyFont="1" applyFill="1" applyBorder="1" applyAlignment="1">
      <alignment horizontal="right" vertical="top" wrapText="1" indent="1" readingOrder="1"/>
    </xf>
    <xf numFmtId="0" fontId="4" fillId="12" borderId="4" xfId="0" applyFont="1" applyFill="1" applyBorder="1" applyAlignment="1">
      <alignment horizontal="left" vertical="top" wrapText="1" readingOrder="1"/>
    </xf>
    <xf numFmtId="3" fontId="4" fillId="12" borderId="4" xfId="0" applyNumberFormat="1" applyFont="1" applyFill="1" applyBorder="1" applyAlignment="1">
      <alignment horizontal="left" vertical="top" wrapText="1" readingOrder="1"/>
    </xf>
    <xf numFmtId="6" fontId="4" fillId="12" borderId="4" xfId="0" applyNumberFormat="1" applyFont="1" applyFill="1" applyBorder="1" applyAlignment="1">
      <alignment horizontal="right" vertical="top" wrapText="1" indent="1" readingOrder="1"/>
    </xf>
    <xf numFmtId="0" fontId="4" fillId="11" borderId="4" xfId="0" applyFont="1" applyFill="1" applyBorder="1" applyAlignment="1">
      <alignment horizontal="left" vertical="top" wrapText="1" readingOrder="1"/>
    </xf>
    <xf numFmtId="3" fontId="4" fillId="11" borderId="4" xfId="0" applyNumberFormat="1" applyFont="1" applyFill="1" applyBorder="1" applyAlignment="1">
      <alignment horizontal="left" vertical="top" wrapText="1" readingOrder="1"/>
    </xf>
    <xf numFmtId="6" fontId="4" fillId="11" borderId="4" xfId="0" applyNumberFormat="1" applyFont="1" applyFill="1" applyBorder="1" applyAlignment="1">
      <alignment horizontal="right" vertical="top" wrapText="1" indent="1" readingOrder="1"/>
    </xf>
    <xf numFmtId="0" fontId="3" fillId="0" borderId="1" xfId="0" applyFont="1" applyBorder="1"/>
    <xf numFmtId="0" fontId="5" fillId="2" borderId="0" xfId="0" applyFont="1" applyFill="1"/>
    <xf numFmtId="0" fontId="4" fillId="11" borderId="13" xfId="0" applyFont="1" applyFill="1" applyBorder="1" applyAlignment="1">
      <alignment horizontal="left" vertical="top" wrapText="1" readingOrder="1"/>
    </xf>
    <xf numFmtId="0" fontId="4" fillId="12" borderId="14" xfId="0" applyFont="1" applyFill="1" applyBorder="1" applyAlignment="1">
      <alignment horizontal="left" vertical="top" wrapText="1" readingOrder="1"/>
    </xf>
    <xf numFmtId="0" fontId="4" fillId="11" borderId="14" xfId="0" applyFont="1" applyFill="1" applyBorder="1" applyAlignment="1">
      <alignment horizontal="left" vertical="top" wrapText="1" readingOrder="1"/>
    </xf>
    <xf numFmtId="0" fontId="1" fillId="2" borderId="0" xfId="0" applyFont="1" applyFill="1"/>
    <xf numFmtId="8" fontId="0" fillId="0" borderId="1" xfId="0" applyNumberFormat="1" applyBorder="1"/>
    <xf numFmtId="6" fontId="0" fillId="0" borderId="1" xfId="0" applyNumberFormat="1" applyBorder="1"/>
    <xf numFmtId="0" fontId="1" fillId="2" borderId="16" xfId="0" applyFont="1" applyFill="1" applyBorder="1"/>
    <xf numFmtId="0" fontId="0" fillId="0" borderId="1" xfId="0" applyNumberFormat="1" applyBorder="1"/>
    <xf numFmtId="0" fontId="0" fillId="0" borderId="1"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xf>
    <xf numFmtId="0" fontId="9"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10</xdr:col>
      <xdr:colOff>152400</xdr:colOff>
      <xdr:row>1</xdr:row>
      <xdr:rowOff>136798</xdr:rowOff>
    </xdr:from>
    <xdr:to>
      <xdr:col>20</xdr:col>
      <xdr:colOff>341595</xdr:colOff>
      <xdr:row>25</xdr:row>
      <xdr:rowOff>37209</xdr:rowOff>
    </xdr:to>
    <xdr:pic>
      <xdr:nvPicPr>
        <xdr:cNvPr id="2" name="Picture 1">
          <a:extLst>
            <a:ext uri="{FF2B5EF4-FFF2-40B4-BE49-F238E27FC236}">
              <a16:creationId xmlns:a16="http://schemas.microsoft.com/office/drawing/2014/main" id="{F79D5C80-9630-474B-A68F-9A224FDCEF09}"/>
            </a:ext>
          </a:extLst>
        </xdr:cNvPr>
        <xdr:cNvPicPr>
          <a:picLocks noChangeAspect="1"/>
        </xdr:cNvPicPr>
      </xdr:nvPicPr>
      <xdr:blipFill>
        <a:blip xmlns:r="http://schemas.openxmlformats.org/officeDocument/2006/relationships" r:embed="rId1"/>
        <a:stretch>
          <a:fillRect/>
        </a:stretch>
      </xdr:blipFill>
      <xdr:spPr>
        <a:xfrm>
          <a:off x="7597140" y="319678"/>
          <a:ext cx="6285195" cy="42895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594360</xdr:colOff>
      <xdr:row>3</xdr:row>
      <xdr:rowOff>55852</xdr:rowOff>
    </xdr:from>
    <xdr:to>
      <xdr:col>22</xdr:col>
      <xdr:colOff>29285</xdr:colOff>
      <xdr:row>24</xdr:row>
      <xdr:rowOff>81230</xdr:rowOff>
    </xdr:to>
    <xdr:pic>
      <xdr:nvPicPr>
        <xdr:cNvPr id="2" name="Picture 1">
          <a:extLst>
            <a:ext uri="{FF2B5EF4-FFF2-40B4-BE49-F238E27FC236}">
              <a16:creationId xmlns:a16="http://schemas.microsoft.com/office/drawing/2014/main" id="{19163C62-72E5-4B18-BD1C-2D488A0E9E84}"/>
            </a:ext>
          </a:extLst>
        </xdr:cNvPr>
        <xdr:cNvPicPr>
          <a:picLocks noChangeAspect="1"/>
        </xdr:cNvPicPr>
      </xdr:nvPicPr>
      <xdr:blipFill>
        <a:blip xmlns:r="http://schemas.openxmlformats.org/officeDocument/2006/relationships" r:embed="rId1"/>
        <a:stretch>
          <a:fillRect/>
        </a:stretch>
      </xdr:blipFill>
      <xdr:spPr>
        <a:xfrm>
          <a:off x="7185660" y="604492"/>
          <a:ext cx="6750125" cy="38658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502920</xdr:colOff>
      <xdr:row>3</xdr:row>
      <xdr:rowOff>68486</xdr:rowOff>
    </xdr:from>
    <xdr:to>
      <xdr:col>20</xdr:col>
      <xdr:colOff>368406</xdr:colOff>
      <xdr:row>22</xdr:row>
      <xdr:rowOff>134627</xdr:rowOff>
    </xdr:to>
    <xdr:pic>
      <xdr:nvPicPr>
        <xdr:cNvPr id="2" name="Picture 1">
          <a:extLst>
            <a:ext uri="{FF2B5EF4-FFF2-40B4-BE49-F238E27FC236}">
              <a16:creationId xmlns:a16="http://schemas.microsoft.com/office/drawing/2014/main" id="{721F868B-B0A0-4DA1-AAFD-0EA3CF09704E}"/>
            </a:ext>
          </a:extLst>
        </xdr:cNvPr>
        <xdr:cNvPicPr>
          <a:picLocks noChangeAspect="1"/>
        </xdr:cNvPicPr>
      </xdr:nvPicPr>
      <xdr:blipFill>
        <a:blip xmlns:r="http://schemas.openxmlformats.org/officeDocument/2006/relationships" r:embed="rId1"/>
        <a:stretch>
          <a:fillRect/>
        </a:stretch>
      </xdr:blipFill>
      <xdr:spPr>
        <a:xfrm>
          <a:off x="7033260" y="617126"/>
          <a:ext cx="6571086" cy="35408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215798</xdr:colOff>
      <xdr:row>0</xdr:row>
      <xdr:rowOff>0</xdr:rowOff>
    </xdr:from>
    <xdr:to>
      <xdr:col>16</xdr:col>
      <xdr:colOff>202082</xdr:colOff>
      <xdr:row>24</xdr:row>
      <xdr:rowOff>144780</xdr:rowOff>
    </xdr:to>
    <xdr:pic>
      <xdr:nvPicPr>
        <xdr:cNvPr id="2" name="Picture 1">
          <a:extLst>
            <a:ext uri="{FF2B5EF4-FFF2-40B4-BE49-F238E27FC236}">
              <a16:creationId xmlns:a16="http://schemas.microsoft.com/office/drawing/2014/main" id="{2471625C-4116-4564-A00F-F8ED0AEA2DA7}"/>
            </a:ext>
          </a:extLst>
        </xdr:cNvPr>
        <xdr:cNvPicPr>
          <a:picLocks noChangeAspect="1"/>
        </xdr:cNvPicPr>
      </xdr:nvPicPr>
      <xdr:blipFill>
        <a:blip xmlns:r="http://schemas.openxmlformats.org/officeDocument/2006/relationships" r:embed="rId1"/>
        <a:stretch>
          <a:fillRect/>
        </a:stretch>
      </xdr:blipFill>
      <xdr:spPr>
        <a:xfrm>
          <a:off x="7782458" y="0"/>
          <a:ext cx="6166104" cy="4533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274320</xdr:colOff>
      <xdr:row>19</xdr:row>
      <xdr:rowOff>60960</xdr:rowOff>
    </xdr:from>
    <xdr:to>
      <xdr:col>8</xdr:col>
      <xdr:colOff>530329</xdr:colOff>
      <xdr:row>48</xdr:row>
      <xdr:rowOff>54480</xdr:rowOff>
    </xdr:to>
    <xdr:pic>
      <xdr:nvPicPr>
        <xdr:cNvPr id="2" name="Picture 1">
          <a:extLst>
            <a:ext uri="{FF2B5EF4-FFF2-40B4-BE49-F238E27FC236}">
              <a16:creationId xmlns:a16="http://schemas.microsoft.com/office/drawing/2014/main" id="{7A2F5808-18A0-4C1A-9415-C65453BACF1E}"/>
            </a:ext>
          </a:extLst>
        </xdr:cNvPr>
        <xdr:cNvPicPr>
          <a:picLocks noChangeAspect="1"/>
        </xdr:cNvPicPr>
      </xdr:nvPicPr>
      <xdr:blipFill>
        <a:blip xmlns:r="http://schemas.openxmlformats.org/officeDocument/2006/relationships" r:embed="rId1"/>
        <a:stretch>
          <a:fillRect/>
        </a:stretch>
      </xdr:blipFill>
      <xdr:spPr>
        <a:xfrm>
          <a:off x="274320" y="3505200"/>
          <a:ext cx="7373089" cy="50760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200838</xdr:colOff>
      <xdr:row>1</xdr:row>
      <xdr:rowOff>152400</xdr:rowOff>
    </xdr:from>
    <xdr:to>
      <xdr:col>14</xdr:col>
      <xdr:colOff>240755</xdr:colOff>
      <xdr:row>21</xdr:row>
      <xdr:rowOff>79121</xdr:rowOff>
    </xdr:to>
    <xdr:pic>
      <xdr:nvPicPr>
        <xdr:cNvPr id="2" name="Picture 1">
          <a:extLst>
            <a:ext uri="{FF2B5EF4-FFF2-40B4-BE49-F238E27FC236}">
              <a16:creationId xmlns:a16="http://schemas.microsoft.com/office/drawing/2014/main" id="{E94B3222-2945-4185-BD2E-505B9E74F662}"/>
            </a:ext>
          </a:extLst>
        </xdr:cNvPr>
        <xdr:cNvPicPr>
          <a:picLocks noChangeAspect="1"/>
        </xdr:cNvPicPr>
      </xdr:nvPicPr>
      <xdr:blipFill>
        <a:blip xmlns:r="http://schemas.openxmlformats.org/officeDocument/2006/relationships" r:embed="rId1"/>
        <a:stretch>
          <a:fillRect/>
        </a:stretch>
      </xdr:blipFill>
      <xdr:spPr>
        <a:xfrm>
          <a:off x="9329598" y="335280"/>
          <a:ext cx="4680497" cy="352336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1203960</xdr:colOff>
      <xdr:row>0</xdr:row>
      <xdr:rowOff>165528</xdr:rowOff>
    </xdr:from>
    <xdr:to>
      <xdr:col>8</xdr:col>
      <xdr:colOff>978096</xdr:colOff>
      <xdr:row>26</xdr:row>
      <xdr:rowOff>117222</xdr:rowOff>
    </xdr:to>
    <xdr:pic>
      <xdr:nvPicPr>
        <xdr:cNvPr id="2" name="Picture 1">
          <a:extLst>
            <a:ext uri="{FF2B5EF4-FFF2-40B4-BE49-F238E27FC236}">
              <a16:creationId xmlns:a16="http://schemas.microsoft.com/office/drawing/2014/main" id="{7468A27A-8C1D-40E4-BBC1-3B63B6DB892B}"/>
            </a:ext>
          </a:extLst>
        </xdr:cNvPr>
        <xdr:cNvPicPr>
          <a:picLocks noChangeAspect="1"/>
        </xdr:cNvPicPr>
      </xdr:nvPicPr>
      <xdr:blipFill>
        <a:blip xmlns:r="http://schemas.openxmlformats.org/officeDocument/2006/relationships" r:embed="rId1"/>
        <a:stretch>
          <a:fillRect/>
        </a:stretch>
      </xdr:blipFill>
      <xdr:spPr>
        <a:xfrm>
          <a:off x="7063740" y="165528"/>
          <a:ext cx="5626296" cy="46532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59B8-8A4A-4630-BB84-B46D411E3975}">
  <dimension ref="A1:J22"/>
  <sheetViews>
    <sheetView workbookViewId="0">
      <selection activeCell="L1" sqref="L1"/>
    </sheetView>
  </sheetViews>
  <sheetFormatPr baseColWidth="10" defaultColWidth="8.83203125" defaultRowHeight="15"/>
  <cols>
    <col min="1" max="1" width="15.6640625" bestFit="1" customWidth="1"/>
    <col min="2" max="2" width="13.1640625" bestFit="1" customWidth="1"/>
    <col min="3" max="3" width="6.5" bestFit="1" customWidth="1"/>
    <col min="4" max="4" width="6.83203125" bestFit="1" customWidth="1"/>
    <col min="5" max="5" width="7.5" bestFit="1" customWidth="1"/>
    <col min="6" max="6" width="14.33203125" bestFit="1" customWidth="1"/>
    <col min="9" max="9" width="16" bestFit="1" customWidth="1"/>
    <col min="10" max="10" width="10.83203125" bestFit="1" customWidth="1"/>
  </cols>
  <sheetData>
    <row r="1" spans="1:10">
      <c r="A1" s="1" t="s">
        <v>0</v>
      </c>
      <c r="B1" s="1" t="s">
        <v>7</v>
      </c>
      <c r="C1" s="1" t="s">
        <v>8</v>
      </c>
      <c r="D1" s="1" t="s">
        <v>9</v>
      </c>
      <c r="E1" s="1" t="s">
        <v>10</v>
      </c>
      <c r="F1" s="1" t="s">
        <v>11</v>
      </c>
      <c r="I1" s="2" t="s">
        <v>0</v>
      </c>
      <c r="J1" s="1" t="s">
        <v>12</v>
      </c>
    </row>
    <row r="2" spans="1:10">
      <c r="A2" s="1" t="s">
        <v>1</v>
      </c>
      <c r="B2" s="1">
        <v>28</v>
      </c>
      <c r="C2" s="1">
        <v>110</v>
      </c>
      <c r="D2" s="1">
        <v>4</v>
      </c>
      <c r="E2" s="1">
        <v>2</v>
      </c>
      <c r="F2" s="1">
        <v>3</v>
      </c>
      <c r="I2" s="1" t="s">
        <v>1</v>
      </c>
      <c r="J2" s="1">
        <v>4</v>
      </c>
    </row>
    <row r="3" spans="1:10">
      <c r="A3" s="1" t="s">
        <v>2</v>
      </c>
      <c r="B3" s="1">
        <v>100</v>
      </c>
      <c r="C3" s="1">
        <v>205</v>
      </c>
      <c r="D3" s="1">
        <v>32</v>
      </c>
      <c r="E3" s="1">
        <v>12</v>
      </c>
      <c r="F3" s="1">
        <v>24</v>
      </c>
      <c r="I3" s="1" t="s">
        <v>2</v>
      </c>
      <c r="J3" s="1">
        <v>3</v>
      </c>
    </row>
    <row r="4" spans="1:10">
      <c r="A4" s="1" t="s">
        <v>3</v>
      </c>
      <c r="B4" s="1">
        <v>2</v>
      </c>
      <c r="C4" s="1">
        <v>160</v>
      </c>
      <c r="D4" s="1">
        <v>13</v>
      </c>
      <c r="E4" s="1">
        <v>54</v>
      </c>
      <c r="F4" s="1">
        <v>13</v>
      </c>
      <c r="I4" s="1" t="s">
        <v>3</v>
      </c>
      <c r="J4" s="1">
        <v>2</v>
      </c>
    </row>
    <row r="5" spans="1:10">
      <c r="A5" s="1" t="s">
        <v>4</v>
      </c>
      <c r="B5" s="1">
        <v>237</v>
      </c>
      <c r="C5" s="1">
        <v>160</v>
      </c>
      <c r="D5" s="1">
        <v>8</v>
      </c>
      <c r="E5" s="1">
        <v>285</v>
      </c>
      <c r="F5" s="1">
        <v>9</v>
      </c>
      <c r="I5" s="1" t="s">
        <v>4</v>
      </c>
      <c r="J5" s="1">
        <v>8</v>
      </c>
    </row>
    <row r="6" spans="1:10">
      <c r="A6" s="1" t="s">
        <v>5</v>
      </c>
      <c r="B6" s="1">
        <v>170</v>
      </c>
      <c r="C6" s="1">
        <v>420</v>
      </c>
      <c r="D6" s="1">
        <v>4</v>
      </c>
      <c r="E6" s="1">
        <v>22</v>
      </c>
      <c r="F6" s="1">
        <v>20</v>
      </c>
      <c r="I6" s="1" t="s">
        <v>5</v>
      </c>
      <c r="J6" s="1">
        <v>2</v>
      </c>
    </row>
    <row r="7" spans="1:10">
      <c r="A7" s="1" t="s">
        <v>6</v>
      </c>
      <c r="B7" s="1">
        <v>260</v>
      </c>
      <c r="C7" s="1">
        <v>260</v>
      </c>
      <c r="D7" s="1">
        <v>14</v>
      </c>
      <c r="E7" s="1">
        <v>80</v>
      </c>
      <c r="F7" s="1">
        <v>19</v>
      </c>
      <c r="I7" s="1" t="s">
        <v>6</v>
      </c>
      <c r="J7" s="1">
        <v>2</v>
      </c>
    </row>
    <row r="9" spans="1:10">
      <c r="A9" t="s">
        <v>8</v>
      </c>
      <c r="B9">
        <v>2000</v>
      </c>
    </row>
    <row r="10" spans="1:10">
      <c r="A10" t="s">
        <v>9</v>
      </c>
      <c r="B10">
        <v>55</v>
      </c>
      <c r="I10" s="2" t="s">
        <v>15</v>
      </c>
    </row>
    <row r="11" spans="1:10">
      <c r="A11" t="s">
        <v>10</v>
      </c>
      <c r="B11">
        <v>800</v>
      </c>
      <c r="I11" s="3">
        <f>SUMPRODUCT(F2:F7,B14:B19)</f>
        <v>97</v>
      </c>
    </row>
    <row r="13" spans="1:10">
      <c r="A13" s="2" t="s">
        <v>13</v>
      </c>
      <c r="B13" s="1" t="s">
        <v>14</v>
      </c>
      <c r="F13" s="2" t="s">
        <v>16</v>
      </c>
      <c r="G13" s="1"/>
      <c r="H13" s="1"/>
    </row>
    <row r="14" spans="1:10">
      <c r="A14" s="1" t="s">
        <v>1</v>
      </c>
      <c r="B14" s="1">
        <v>4</v>
      </c>
      <c r="F14" s="1">
        <f>B14</f>
        <v>4</v>
      </c>
      <c r="G14" s="1" t="s">
        <v>17</v>
      </c>
      <c r="H14" s="1">
        <v>4</v>
      </c>
    </row>
    <row r="15" spans="1:10">
      <c r="A15" s="1" t="s">
        <v>2</v>
      </c>
      <c r="B15" s="1">
        <v>0</v>
      </c>
      <c r="F15" s="1">
        <f t="shared" ref="F15:F19" si="0">B15</f>
        <v>0</v>
      </c>
      <c r="G15" s="1" t="s">
        <v>17</v>
      </c>
      <c r="H15" s="1">
        <v>3</v>
      </c>
    </row>
    <row r="16" spans="1:10">
      <c r="A16" s="1" t="s">
        <v>3</v>
      </c>
      <c r="B16" s="1">
        <v>0</v>
      </c>
      <c r="F16" s="1">
        <f t="shared" si="0"/>
        <v>0</v>
      </c>
      <c r="G16" s="1" t="s">
        <v>17</v>
      </c>
      <c r="H16" s="1">
        <v>2</v>
      </c>
    </row>
    <row r="17" spans="1:8">
      <c r="A17" s="1" t="s">
        <v>4</v>
      </c>
      <c r="B17" s="1">
        <v>5</v>
      </c>
      <c r="F17" s="1">
        <f t="shared" si="0"/>
        <v>5</v>
      </c>
      <c r="G17" s="1" t="s">
        <v>17</v>
      </c>
      <c r="H17" s="1">
        <v>8</v>
      </c>
    </row>
    <row r="18" spans="1:8">
      <c r="A18" s="1" t="s">
        <v>5</v>
      </c>
      <c r="B18" s="1">
        <v>2</v>
      </c>
      <c r="F18" s="1">
        <f t="shared" si="0"/>
        <v>2</v>
      </c>
      <c r="G18" s="1" t="s">
        <v>17</v>
      </c>
      <c r="H18" s="1">
        <v>2</v>
      </c>
    </row>
    <row r="19" spans="1:8">
      <c r="A19" s="1" t="s">
        <v>6</v>
      </c>
      <c r="B19" s="1">
        <v>0</v>
      </c>
      <c r="F19" s="1">
        <f t="shared" si="0"/>
        <v>0</v>
      </c>
      <c r="G19" s="1" t="s">
        <v>17</v>
      </c>
      <c r="H19" s="1">
        <v>2</v>
      </c>
    </row>
    <row r="20" spans="1:8">
      <c r="F20" s="1">
        <f>SUMPRODUCT(C2:C7,B14:B19)</f>
        <v>2080</v>
      </c>
      <c r="G20" s="1" t="s">
        <v>18</v>
      </c>
      <c r="H20" s="1">
        <f>B9</f>
        <v>2000</v>
      </c>
    </row>
    <row r="21" spans="1:8">
      <c r="F21" s="1">
        <f>SUMPRODUCT(D2:D7,B14:B19)</f>
        <v>64</v>
      </c>
      <c r="G21" s="1" t="s">
        <v>18</v>
      </c>
      <c r="H21" s="1">
        <f>B10</f>
        <v>55</v>
      </c>
    </row>
    <row r="22" spans="1:8">
      <c r="F22" s="1">
        <f>SUMPRODUCT(E2:E7,B14:B19)</f>
        <v>1477</v>
      </c>
      <c r="G22" s="1" t="s">
        <v>18</v>
      </c>
      <c r="H22" s="1">
        <f>B11</f>
        <v>800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FE124-FD5D-4885-B173-F27930185266}">
  <dimension ref="A1:G23"/>
  <sheetViews>
    <sheetView topLeftCell="A2" workbookViewId="0">
      <selection activeCell="F19" sqref="F19"/>
    </sheetView>
  </sheetViews>
  <sheetFormatPr baseColWidth="10" defaultColWidth="9.6640625" defaultRowHeight="14"/>
  <cols>
    <col min="1" max="1" width="23.5" style="7" bestFit="1" customWidth="1"/>
    <col min="2" max="6" width="20" style="7" customWidth="1"/>
    <col min="7" max="16384" width="9.6640625" style="7"/>
  </cols>
  <sheetData>
    <row r="1" spans="1:7" ht="16" thickBot="1">
      <c r="A1" s="44" t="s">
        <v>87</v>
      </c>
      <c r="B1" s="44" t="s">
        <v>88</v>
      </c>
      <c r="D1" s="44" t="s">
        <v>89</v>
      </c>
      <c r="E1" s="45" t="s">
        <v>90</v>
      </c>
    </row>
    <row r="2" spans="1:7" ht="17" thickTop="1" thickBot="1">
      <c r="A2" s="46">
        <v>1</v>
      </c>
      <c r="B2" s="47">
        <v>30000</v>
      </c>
      <c r="D2" s="46" t="s">
        <v>91</v>
      </c>
      <c r="E2" s="48">
        <v>65</v>
      </c>
    </row>
    <row r="3" spans="1:7" ht="16" thickBot="1">
      <c r="A3" s="49">
        <v>2</v>
      </c>
      <c r="B3" s="50">
        <v>20000</v>
      </c>
      <c r="D3" s="49" t="s">
        <v>92</v>
      </c>
      <c r="E3" s="51">
        <v>100</v>
      </c>
    </row>
    <row r="4" spans="1:7" ht="16" thickBot="1">
      <c r="A4" s="52">
        <v>3</v>
      </c>
      <c r="B4" s="53">
        <v>40000</v>
      </c>
      <c r="D4" s="52" t="s">
        <v>93</v>
      </c>
      <c r="E4" s="54">
        <v>135</v>
      </c>
    </row>
    <row r="5" spans="1:7" ht="16" thickBot="1">
      <c r="A5" s="49">
        <v>4</v>
      </c>
      <c r="B5" s="50">
        <v>10000</v>
      </c>
      <c r="D5" s="49" t="s">
        <v>94</v>
      </c>
      <c r="E5" s="51">
        <v>160</v>
      </c>
    </row>
    <row r="6" spans="1:7" ht="16" thickBot="1">
      <c r="A6" s="52">
        <v>5</v>
      </c>
      <c r="B6" s="53">
        <v>50000</v>
      </c>
      <c r="D6" s="52" t="s">
        <v>95</v>
      </c>
      <c r="E6" s="54">
        <v>190</v>
      </c>
    </row>
    <row r="8" spans="1:7">
      <c r="A8" s="7" t="s">
        <v>96</v>
      </c>
    </row>
    <row r="10" spans="1:7">
      <c r="A10" s="15" t="s">
        <v>13</v>
      </c>
      <c r="B10" s="7" t="s">
        <v>97</v>
      </c>
      <c r="C10" s="7" t="s">
        <v>98</v>
      </c>
      <c r="D10" s="7" t="s">
        <v>99</v>
      </c>
      <c r="E10" s="7" t="s">
        <v>100</v>
      </c>
      <c r="F10" s="7" t="s">
        <v>101</v>
      </c>
    </row>
    <row r="11" spans="1:7">
      <c r="A11" s="7" t="s">
        <v>102</v>
      </c>
      <c r="B11" s="55">
        <v>0</v>
      </c>
      <c r="C11" s="55">
        <v>0</v>
      </c>
      <c r="D11" s="55">
        <v>10000</v>
      </c>
      <c r="E11" s="55">
        <v>0</v>
      </c>
      <c r="F11" s="55">
        <v>20000</v>
      </c>
      <c r="G11" s="7">
        <f>SUM(B11:F11)</f>
        <v>30000</v>
      </c>
    </row>
    <row r="12" spans="1:7">
      <c r="A12" s="7" t="s">
        <v>103</v>
      </c>
      <c r="B12" s="55">
        <v>0</v>
      </c>
      <c r="C12" s="55">
        <v>0</v>
      </c>
      <c r="D12" s="55">
        <v>0</v>
      </c>
      <c r="E12" s="55">
        <v>0</v>
      </c>
      <c r="F12" s="55">
        <v>0</v>
      </c>
      <c r="G12" s="7">
        <f t="shared" ref="G12:G15" si="0">SUM(B12:F12)</f>
        <v>0</v>
      </c>
    </row>
    <row r="13" spans="1:7">
      <c r="A13" s="7" t="s">
        <v>104</v>
      </c>
      <c r="B13" s="55">
        <v>0</v>
      </c>
      <c r="C13" s="55">
        <v>0</v>
      </c>
      <c r="D13" s="55">
        <v>0</v>
      </c>
      <c r="E13" s="55">
        <v>0</v>
      </c>
      <c r="F13" s="55">
        <v>0</v>
      </c>
      <c r="G13" s="7">
        <f t="shared" si="0"/>
        <v>0</v>
      </c>
    </row>
    <row r="14" spans="1:7">
      <c r="A14" s="7" t="s">
        <v>105</v>
      </c>
      <c r="B14" s="55">
        <v>0</v>
      </c>
      <c r="C14" s="55">
        <v>0</v>
      </c>
      <c r="D14" s="55">
        <v>0</v>
      </c>
      <c r="E14" s="55">
        <v>0</v>
      </c>
      <c r="F14" s="55">
        <v>0</v>
      </c>
      <c r="G14" s="7">
        <f t="shared" si="0"/>
        <v>0</v>
      </c>
    </row>
    <row r="15" spans="1:7">
      <c r="A15" s="7" t="s">
        <v>106</v>
      </c>
      <c r="B15" s="55">
        <v>30000</v>
      </c>
      <c r="C15" s="55">
        <v>0</v>
      </c>
      <c r="D15" s="55">
        <v>0</v>
      </c>
      <c r="E15" s="55">
        <v>0</v>
      </c>
      <c r="F15" s="55">
        <v>0</v>
      </c>
      <c r="G15" s="7">
        <f t="shared" si="0"/>
        <v>30000</v>
      </c>
    </row>
    <row r="16" spans="1:7">
      <c r="G16" s="7">
        <f>SUM(G11:G15)</f>
        <v>60000</v>
      </c>
    </row>
    <row r="17" spans="1:6" ht="15" thickBot="1">
      <c r="A17" s="7" t="s">
        <v>16</v>
      </c>
    </row>
    <row r="18" spans="1:6" ht="16" thickBot="1">
      <c r="A18" s="44" t="s">
        <v>87</v>
      </c>
      <c r="F18" s="7" t="s">
        <v>15</v>
      </c>
    </row>
    <row r="19" spans="1:6" ht="16" thickTop="1" thickBot="1">
      <c r="A19" s="46">
        <v>1</v>
      </c>
      <c r="B19" s="7">
        <f>SUM(B11:B15)</f>
        <v>30000</v>
      </c>
      <c r="C19" s="7" t="s">
        <v>18</v>
      </c>
      <c r="D19" s="47">
        <v>30000</v>
      </c>
      <c r="F19" s="56">
        <f>SUMPRODUCT(E2:E6,G11:G15)</f>
        <v>7650000</v>
      </c>
    </row>
    <row r="20" spans="1:6" ht="15" thickBot="1">
      <c r="A20" s="49">
        <v>2</v>
      </c>
      <c r="B20" s="7">
        <f>SUM(B12:B15)+SUM(C11:C14)</f>
        <v>30000</v>
      </c>
      <c r="C20" s="7" t="s">
        <v>18</v>
      </c>
      <c r="D20" s="50">
        <v>20000</v>
      </c>
    </row>
    <row r="21" spans="1:6" ht="15" thickBot="1">
      <c r="A21" s="52">
        <v>3</v>
      </c>
      <c r="B21" s="7">
        <f>SUM(D11:D13,C12:C14,B13:B15)</f>
        <v>40000</v>
      </c>
      <c r="C21" s="7" t="s">
        <v>18</v>
      </c>
      <c r="D21" s="53">
        <v>40000</v>
      </c>
    </row>
    <row r="22" spans="1:6" ht="15" thickBot="1">
      <c r="A22" s="49">
        <v>4</v>
      </c>
      <c r="B22" s="7">
        <f>SUM(E11:E12,D12:D13,C13:C14,B14:B15)</f>
        <v>30000</v>
      </c>
      <c r="C22" s="7" t="s">
        <v>18</v>
      </c>
      <c r="D22" s="50">
        <v>10000</v>
      </c>
    </row>
    <row r="23" spans="1:6" ht="15" thickBot="1">
      <c r="A23" s="52">
        <v>5</v>
      </c>
      <c r="B23" s="7">
        <f>SUM(F11,E12,D13,C14,B15)</f>
        <v>50000</v>
      </c>
      <c r="C23" s="7" t="s">
        <v>18</v>
      </c>
      <c r="D23" s="53">
        <v>50000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6A5A2-4BDB-4573-BEDA-3943BB599258}">
  <dimension ref="A1:E34"/>
  <sheetViews>
    <sheetView topLeftCell="A12" zoomScaleNormal="100" workbookViewId="0">
      <selection activeCell="D11" sqref="D11"/>
    </sheetView>
  </sheetViews>
  <sheetFormatPr baseColWidth="10" defaultColWidth="21.33203125" defaultRowHeight="14"/>
  <cols>
    <col min="1" max="1" width="20.1640625" style="7" bestFit="1" customWidth="1"/>
    <col min="2" max="2" width="21.33203125" style="7"/>
    <col min="3" max="3" width="22.6640625" style="7" bestFit="1" customWidth="1"/>
    <col min="4" max="16384" width="21.33203125" style="7"/>
  </cols>
  <sheetData>
    <row r="1" spans="1:5" ht="16" thickBot="1">
      <c r="A1" s="44" t="s">
        <v>107</v>
      </c>
      <c r="B1" s="44" t="s">
        <v>108</v>
      </c>
    </row>
    <row r="2" spans="1:5" ht="16" thickTop="1" thickBot="1">
      <c r="A2" s="46">
        <v>1</v>
      </c>
      <c r="B2" s="46">
        <v>105</v>
      </c>
    </row>
    <row r="3" spans="1:5" ht="15" thickBot="1">
      <c r="A3" s="49">
        <v>2</v>
      </c>
      <c r="B3" s="49">
        <v>170</v>
      </c>
    </row>
    <row r="4" spans="1:5" ht="15" thickBot="1">
      <c r="A4" s="52">
        <v>3</v>
      </c>
      <c r="B4" s="52">
        <v>230</v>
      </c>
    </row>
    <row r="5" spans="1:5" ht="15" thickBot="1">
      <c r="A5" s="49">
        <v>4</v>
      </c>
      <c r="B5" s="49">
        <v>180</v>
      </c>
    </row>
    <row r="6" spans="1:5" ht="15" thickBot="1">
      <c r="A6" s="52">
        <v>5</v>
      </c>
      <c r="B6" s="52">
        <v>150</v>
      </c>
    </row>
    <row r="7" spans="1:5" ht="15" thickBot="1">
      <c r="A7" s="49">
        <v>6</v>
      </c>
      <c r="B7" s="49">
        <v>250</v>
      </c>
    </row>
    <row r="9" spans="1:5">
      <c r="A9" s="7" t="s">
        <v>109</v>
      </c>
      <c r="B9" s="7">
        <v>160</v>
      </c>
      <c r="D9" s="7" t="s">
        <v>110</v>
      </c>
    </row>
    <row r="10" spans="1:5">
      <c r="A10" s="7" t="s">
        <v>111</v>
      </c>
      <c r="B10" s="7">
        <v>50</v>
      </c>
      <c r="D10" s="7" t="s">
        <v>15</v>
      </c>
    </row>
    <row r="11" spans="1:5">
      <c r="A11" s="7" t="s">
        <v>112</v>
      </c>
      <c r="B11" s="14">
        <v>190</v>
      </c>
      <c r="D11" s="14">
        <f>B11*SUM(B17:B23)+B12*SUM(C17:C23)+B13*SUM(D17:D23)</f>
        <v>216300</v>
      </c>
    </row>
    <row r="12" spans="1:5">
      <c r="A12" s="7" t="s">
        <v>113</v>
      </c>
      <c r="B12" s="14">
        <v>260</v>
      </c>
    </row>
    <row r="13" spans="1:5">
      <c r="A13" s="7" t="s">
        <v>114</v>
      </c>
      <c r="B13" s="14">
        <v>10</v>
      </c>
      <c r="D13" s="14"/>
    </row>
    <row r="15" spans="1:5">
      <c r="A15" s="7" t="s">
        <v>116</v>
      </c>
    </row>
    <row r="16" spans="1:5" ht="15" thickBot="1">
      <c r="A16" s="7" t="s">
        <v>117</v>
      </c>
      <c r="E16" s="7" t="s">
        <v>118</v>
      </c>
    </row>
    <row r="17" spans="1:4" ht="16" thickBot="1">
      <c r="A17" s="44" t="s">
        <v>107</v>
      </c>
      <c r="B17" s="7" t="s">
        <v>119</v>
      </c>
      <c r="C17" s="7" t="s">
        <v>120</v>
      </c>
      <c r="D17" s="7" t="s">
        <v>121</v>
      </c>
    </row>
    <row r="18" spans="1:4" ht="16" thickTop="1" thickBot="1">
      <c r="A18" s="57">
        <v>1</v>
      </c>
      <c r="B18" s="55">
        <v>160</v>
      </c>
      <c r="C18" s="55">
        <v>0</v>
      </c>
      <c r="D18" s="55">
        <v>55</v>
      </c>
    </row>
    <row r="19" spans="1:4" ht="15" thickBot="1">
      <c r="A19" s="58">
        <v>2</v>
      </c>
      <c r="B19" s="55">
        <v>160</v>
      </c>
      <c r="C19" s="55">
        <v>0</v>
      </c>
      <c r="D19" s="55">
        <v>45</v>
      </c>
    </row>
    <row r="20" spans="1:4" ht="15" thickBot="1">
      <c r="A20" s="59">
        <v>3</v>
      </c>
      <c r="B20" s="55">
        <v>160</v>
      </c>
      <c r="C20" s="55">
        <v>25</v>
      </c>
      <c r="D20" s="55">
        <v>0</v>
      </c>
    </row>
    <row r="21" spans="1:4" ht="15" thickBot="1">
      <c r="A21" s="58">
        <v>4</v>
      </c>
      <c r="B21" s="55">
        <v>160</v>
      </c>
      <c r="C21" s="55">
        <v>20</v>
      </c>
      <c r="D21" s="55">
        <v>0</v>
      </c>
    </row>
    <row r="22" spans="1:4" ht="15" thickBot="1">
      <c r="A22" s="59">
        <v>5</v>
      </c>
      <c r="B22" s="55">
        <v>160</v>
      </c>
      <c r="C22" s="55">
        <v>30</v>
      </c>
      <c r="D22" s="55">
        <v>40</v>
      </c>
    </row>
    <row r="23" spans="1:4" ht="15" thickBot="1">
      <c r="A23" s="58">
        <v>6</v>
      </c>
      <c r="B23" s="55">
        <v>160</v>
      </c>
      <c r="C23" s="55">
        <v>50</v>
      </c>
      <c r="D23" s="55">
        <v>0</v>
      </c>
    </row>
    <row r="25" spans="1:4" ht="15" thickBot="1"/>
    <row r="26" spans="1:4" ht="16" thickBot="1">
      <c r="A26" s="44" t="s">
        <v>107</v>
      </c>
      <c r="B26" s="7" t="s">
        <v>16</v>
      </c>
    </row>
    <row r="27" spans="1:4" ht="16" thickTop="1" thickBot="1">
      <c r="A27" s="46">
        <v>1</v>
      </c>
      <c r="B27" s="7">
        <f>B18+C18-D18</f>
        <v>105</v>
      </c>
      <c r="C27" s="7" t="s">
        <v>115</v>
      </c>
      <c r="D27" s="46">
        <v>105</v>
      </c>
    </row>
    <row r="28" spans="1:4" ht="15" thickBot="1">
      <c r="A28" s="49">
        <v>2</v>
      </c>
      <c r="B28" s="7">
        <f>B19+C19+D18-D19</f>
        <v>170</v>
      </c>
      <c r="C28" s="7" t="s">
        <v>115</v>
      </c>
      <c r="D28" s="49">
        <v>170</v>
      </c>
    </row>
    <row r="29" spans="1:4" ht="15" thickBot="1">
      <c r="A29" s="52">
        <v>3</v>
      </c>
      <c r="B29" s="7">
        <f>B20+C20+D19-D20</f>
        <v>230</v>
      </c>
      <c r="C29" s="7" t="s">
        <v>115</v>
      </c>
      <c r="D29" s="52">
        <v>230</v>
      </c>
    </row>
    <row r="30" spans="1:4" ht="15" thickBot="1">
      <c r="A30" s="49">
        <v>4</v>
      </c>
      <c r="B30" s="7">
        <f>B21+C21+D20-D21</f>
        <v>180</v>
      </c>
      <c r="C30" s="7" t="s">
        <v>115</v>
      </c>
      <c r="D30" s="49">
        <v>180</v>
      </c>
    </row>
    <row r="31" spans="1:4" ht="15" thickBot="1">
      <c r="A31" s="52">
        <v>5</v>
      </c>
      <c r="B31" s="7">
        <f>B22+C22+D21-D22</f>
        <v>150</v>
      </c>
      <c r="C31" s="7" t="s">
        <v>115</v>
      </c>
      <c r="D31" s="52">
        <v>150</v>
      </c>
    </row>
    <row r="32" spans="1:4" ht="15" thickBot="1">
      <c r="A32" s="49">
        <v>6</v>
      </c>
      <c r="B32" s="7">
        <f>B23+C23+D22-D23</f>
        <v>250</v>
      </c>
      <c r="C32" s="7" t="s">
        <v>115</v>
      </c>
      <c r="D32" s="49">
        <v>250</v>
      </c>
    </row>
    <row r="33" spans="2:4">
      <c r="B33" s="7" t="s">
        <v>122</v>
      </c>
      <c r="C33" s="7" t="s">
        <v>17</v>
      </c>
      <c r="D33" s="7">
        <v>160</v>
      </c>
    </row>
    <row r="34" spans="2:4">
      <c r="B34" s="7" t="s">
        <v>123</v>
      </c>
      <c r="C34" s="7" t="s">
        <v>17</v>
      </c>
      <c r="D34" s="7">
        <v>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4EEC-10CE-4C82-A18E-ED58F4346145}">
  <dimension ref="A1:J16"/>
  <sheetViews>
    <sheetView workbookViewId="0">
      <selection activeCell="E9" sqref="E9"/>
    </sheetView>
  </sheetViews>
  <sheetFormatPr baseColWidth="10" defaultColWidth="8.83203125" defaultRowHeight="15"/>
  <cols>
    <col min="1" max="1" width="16.1640625" bestFit="1" customWidth="1"/>
  </cols>
  <sheetData>
    <row r="1" spans="1:10">
      <c r="A1" s="1"/>
      <c r="B1" s="1" t="s">
        <v>19</v>
      </c>
      <c r="C1" s="1" t="s">
        <v>20</v>
      </c>
      <c r="D1" s="1" t="s">
        <v>21</v>
      </c>
      <c r="E1" s="1" t="s">
        <v>22</v>
      </c>
    </row>
    <row r="2" spans="1:10">
      <c r="A2" s="1" t="s">
        <v>23</v>
      </c>
      <c r="B2" s="1">
        <v>4</v>
      </c>
      <c r="C2" s="1">
        <v>3</v>
      </c>
      <c r="D2" s="1">
        <v>8</v>
      </c>
      <c r="E2" s="1">
        <v>300</v>
      </c>
    </row>
    <row r="3" spans="1:10">
      <c r="A3" s="1" t="s">
        <v>24</v>
      </c>
      <c r="B3" s="1">
        <v>7</v>
      </c>
      <c r="C3" s="1">
        <v>5</v>
      </c>
      <c r="D3" s="1">
        <v>9</v>
      </c>
      <c r="E3" s="1">
        <v>300</v>
      </c>
    </row>
    <row r="4" spans="1:10">
      <c r="A4" s="1" t="s">
        <v>25</v>
      </c>
      <c r="B4" s="1">
        <v>4</v>
      </c>
      <c r="C4" s="1">
        <v>5</v>
      </c>
      <c r="D4" s="1">
        <v>5</v>
      </c>
      <c r="E4" s="1">
        <v>100</v>
      </c>
    </row>
    <row r="5" spans="1:10">
      <c r="A5" s="1" t="s">
        <v>26</v>
      </c>
      <c r="B5" s="1">
        <v>200</v>
      </c>
      <c r="C5" s="1">
        <v>200</v>
      </c>
      <c r="D5" s="1">
        <v>300</v>
      </c>
      <c r="E5" s="1"/>
    </row>
    <row r="6" spans="1:10">
      <c r="H6" t="s">
        <v>15</v>
      </c>
    </row>
    <row r="7" spans="1:10">
      <c r="H7" s="60">
        <f>SUMPRODUCT(B2:D4,B10:D12)</f>
        <v>4800</v>
      </c>
    </row>
    <row r="8" spans="1:10">
      <c r="A8" t="s">
        <v>27</v>
      </c>
      <c r="B8" t="s">
        <v>28</v>
      </c>
    </row>
    <row r="9" spans="1:10">
      <c r="A9" s="1"/>
      <c r="B9" s="1" t="s">
        <v>19</v>
      </c>
      <c r="C9" s="1" t="s">
        <v>20</v>
      </c>
      <c r="D9" s="1" t="s">
        <v>21</v>
      </c>
    </row>
    <row r="10" spans="1:10">
      <c r="A10" s="1" t="s">
        <v>23</v>
      </c>
      <c r="B10" s="1">
        <v>0</v>
      </c>
      <c r="C10" s="1">
        <v>0</v>
      </c>
      <c r="D10" s="1">
        <v>300</v>
      </c>
      <c r="G10" t="s">
        <v>16</v>
      </c>
    </row>
    <row r="11" spans="1:10">
      <c r="A11" s="1" t="s">
        <v>24</v>
      </c>
      <c r="B11" s="1">
        <v>200</v>
      </c>
      <c r="C11" s="1">
        <v>100</v>
      </c>
      <c r="D11" s="1">
        <v>0</v>
      </c>
      <c r="G11">
        <f>SUM(B10:B12)</f>
        <v>200</v>
      </c>
      <c r="H11" t="s">
        <v>18</v>
      </c>
      <c r="I11">
        <f>B5</f>
        <v>200</v>
      </c>
      <c r="J11" s="66" t="s">
        <v>26</v>
      </c>
    </row>
    <row r="12" spans="1:10">
      <c r="A12" s="1" t="s">
        <v>25</v>
      </c>
      <c r="B12" s="1">
        <v>0</v>
      </c>
      <c r="C12" s="1">
        <v>100</v>
      </c>
      <c r="D12" s="1">
        <v>0</v>
      </c>
      <c r="G12">
        <f>SUM(C10:C12)</f>
        <v>200</v>
      </c>
      <c r="H12" t="s">
        <v>18</v>
      </c>
      <c r="I12">
        <f>C5</f>
        <v>200</v>
      </c>
      <c r="J12" s="66"/>
    </row>
    <row r="13" spans="1:10">
      <c r="G13">
        <f>SUM(D10:D12)</f>
        <v>300</v>
      </c>
      <c r="H13" t="s">
        <v>18</v>
      </c>
      <c r="I13">
        <f>D5</f>
        <v>300</v>
      </c>
      <c r="J13" s="66"/>
    </row>
    <row r="14" spans="1:10">
      <c r="G14">
        <f>SUM(B10:D10)</f>
        <v>300</v>
      </c>
      <c r="H14" t="s">
        <v>17</v>
      </c>
      <c r="I14" s="1">
        <v>300</v>
      </c>
      <c r="J14" s="67" t="s">
        <v>22</v>
      </c>
    </row>
    <row r="15" spans="1:10">
      <c r="G15">
        <f>SUM(B11:D11)</f>
        <v>300</v>
      </c>
      <c r="H15" t="s">
        <v>17</v>
      </c>
      <c r="I15" s="1">
        <v>300</v>
      </c>
      <c r="J15" s="67"/>
    </row>
    <row r="16" spans="1:10">
      <c r="G16">
        <f>SUM(B12:D12)</f>
        <v>100</v>
      </c>
      <c r="H16" t="s">
        <v>17</v>
      </c>
      <c r="I16" s="1">
        <v>100</v>
      </c>
      <c r="J16" s="67"/>
    </row>
  </sheetData>
  <mergeCells count="2">
    <mergeCell ref="J11:J13"/>
    <mergeCell ref="J14:J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548C-0AE4-4262-A7F6-69E874347293}">
  <dimension ref="A1:I29"/>
  <sheetViews>
    <sheetView workbookViewId="0">
      <selection activeCell="H22" sqref="H22"/>
    </sheetView>
  </sheetViews>
  <sheetFormatPr baseColWidth="10" defaultColWidth="8.83203125" defaultRowHeight="15"/>
  <cols>
    <col min="2" max="2" width="24.1640625" bestFit="1" customWidth="1"/>
  </cols>
  <sheetData>
    <row r="1" spans="1:9">
      <c r="A1" s="1" t="s">
        <v>29</v>
      </c>
      <c r="B1" s="1" t="s">
        <v>30</v>
      </c>
      <c r="C1" s="1" t="s">
        <v>31</v>
      </c>
      <c r="D1" s="1" t="s">
        <v>32</v>
      </c>
    </row>
    <row r="2" spans="1:9">
      <c r="A2" s="1" t="s">
        <v>19</v>
      </c>
      <c r="B2" s="1" t="s">
        <v>37</v>
      </c>
      <c r="C2" s="1"/>
      <c r="D2" s="1">
        <v>6</v>
      </c>
    </row>
    <row r="3" spans="1:9">
      <c r="A3" s="1" t="s">
        <v>20</v>
      </c>
      <c r="B3" s="1" t="s">
        <v>38</v>
      </c>
      <c r="C3" s="1"/>
      <c r="D3" s="1">
        <v>9</v>
      </c>
    </row>
    <row r="4" spans="1:9">
      <c r="A4" s="1" t="s">
        <v>21</v>
      </c>
      <c r="B4" s="1" t="s">
        <v>39</v>
      </c>
      <c r="C4" s="1" t="s">
        <v>44</v>
      </c>
      <c r="D4" s="1">
        <v>8</v>
      </c>
    </row>
    <row r="5" spans="1:9">
      <c r="A5" s="1" t="s">
        <v>33</v>
      </c>
      <c r="B5" s="1" t="s">
        <v>40</v>
      </c>
      <c r="C5" s="1" t="s">
        <v>44</v>
      </c>
      <c r="D5" s="1">
        <v>7</v>
      </c>
    </row>
    <row r="6" spans="1:9">
      <c r="A6" s="1" t="s">
        <v>34</v>
      </c>
      <c r="B6" s="1" t="s">
        <v>41</v>
      </c>
      <c r="C6" s="1" t="s">
        <v>33</v>
      </c>
      <c r="D6" s="1">
        <v>10</v>
      </c>
    </row>
    <row r="7" spans="1:9">
      <c r="A7" s="1" t="s">
        <v>35</v>
      </c>
      <c r="B7" s="1" t="s">
        <v>42</v>
      </c>
      <c r="C7" s="1" t="s">
        <v>45</v>
      </c>
      <c r="D7" s="1">
        <v>12</v>
      </c>
    </row>
    <row r="8" spans="1:9">
      <c r="A8" s="1" t="s">
        <v>36</v>
      </c>
      <c r="B8" s="1" t="s">
        <v>43</v>
      </c>
      <c r="C8" s="1" t="s">
        <v>34</v>
      </c>
      <c r="D8" s="1">
        <v>6</v>
      </c>
    </row>
    <row r="10" spans="1:9">
      <c r="B10" t="s">
        <v>125</v>
      </c>
      <c r="G10" t="s">
        <v>15</v>
      </c>
    </row>
    <row r="11" spans="1:9">
      <c r="B11" t="s">
        <v>126</v>
      </c>
      <c r="C11" t="s">
        <v>127</v>
      </c>
      <c r="G11">
        <f>C17-B13</f>
        <v>38</v>
      </c>
    </row>
    <row r="12" spans="1:9">
      <c r="A12" s="1" t="s">
        <v>19</v>
      </c>
      <c r="B12" s="1">
        <v>3</v>
      </c>
      <c r="C12" s="1">
        <v>9</v>
      </c>
    </row>
    <row r="13" spans="1:9">
      <c r="A13" s="1" t="s">
        <v>20</v>
      </c>
      <c r="B13" s="1">
        <v>0</v>
      </c>
      <c r="C13" s="1">
        <v>9</v>
      </c>
    </row>
    <row r="14" spans="1:9">
      <c r="A14" s="1" t="s">
        <v>21</v>
      </c>
      <c r="B14" s="1">
        <v>9</v>
      </c>
      <c r="C14" s="1">
        <v>17</v>
      </c>
      <c r="G14" t="s">
        <v>16</v>
      </c>
    </row>
    <row r="15" spans="1:9">
      <c r="A15" s="1" t="s">
        <v>33</v>
      </c>
      <c r="B15" s="1">
        <v>9</v>
      </c>
      <c r="C15" s="1">
        <v>16</v>
      </c>
      <c r="G15">
        <f t="shared" ref="G15:G21" si="0">C12-B12</f>
        <v>6</v>
      </c>
      <c r="H15" t="s">
        <v>115</v>
      </c>
      <c r="I15" s="1">
        <v>6</v>
      </c>
    </row>
    <row r="16" spans="1:9">
      <c r="A16" s="1" t="s">
        <v>34</v>
      </c>
      <c r="B16" s="1">
        <v>16</v>
      </c>
      <c r="C16" s="1">
        <v>26</v>
      </c>
      <c r="G16">
        <f t="shared" si="0"/>
        <v>9</v>
      </c>
      <c r="H16" t="s">
        <v>115</v>
      </c>
      <c r="I16" s="1">
        <v>9</v>
      </c>
    </row>
    <row r="17" spans="1:9">
      <c r="A17" s="1" t="s">
        <v>35</v>
      </c>
      <c r="B17" s="1">
        <v>26</v>
      </c>
      <c r="C17" s="1">
        <v>38</v>
      </c>
      <c r="G17">
        <f t="shared" si="0"/>
        <v>8</v>
      </c>
      <c r="H17" t="s">
        <v>115</v>
      </c>
      <c r="I17" s="1">
        <v>8</v>
      </c>
    </row>
    <row r="18" spans="1:9">
      <c r="A18" s="1" t="s">
        <v>36</v>
      </c>
      <c r="B18" s="1">
        <v>26</v>
      </c>
      <c r="C18" s="1">
        <v>32</v>
      </c>
      <c r="G18">
        <f t="shared" si="0"/>
        <v>7</v>
      </c>
      <c r="H18" t="s">
        <v>115</v>
      </c>
      <c r="I18" s="1">
        <v>7</v>
      </c>
    </row>
    <row r="19" spans="1:9">
      <c r="G19">
        <f t="shared" si="0"/>
        <v>10</v>
      </c>
      <c r="H19" t="s">
        <v>115</v>
      </c>
      <c r="I19" s="1">
        <v>10</v>
      </c>
    </row>
    <row r="20" spans="1:9">
      <c r="G20">
        <f t="shared" si="0"/>
        <v>12</v>
      </c>
      <c r="H20" t="s">
        <v>115</v>
      </c>
      <c r="I20" s="1">
        <v>12</v>
      </c>
    </row>
    <row r="21" spans="1:9">
      <c r="G21">
        <f t="shared" si="0"/>
        <v>6</v>
      </c>
      <c r="H21" t="s">
        <v>115</v>
      </c>
      <c r="I21" s="1">
        <v>6</v>
      </c>
    </row>
    <row r="22" spans="1:9">
      <c r="F22" t="s">
        <v>21</v>
      </c>
      <c r="G22">
        <f>B14</f>
        <v>9</v>
      </c>
      <c r="H22" t="s">
        <v>18</v>
      </c>
      <c r="I22">
        <f>C12</f>
        <v>9</v>
      </c>
    </row>
    <row r="23" spans="1:9">
      <c r="F23" t="s">
        <v>21</v>
      </c>
      <c r="G23">
        <f>B14</f>
        <v>9</v>
      </c>
      <c r="H23" t="s">
        <v>18</v>
      </c>
      <c r="I23">
        <f>C13</f>
        <v>9</v>
      </c>
    </row>
    <row r="24" spans="1:9">
      <c r="F24" t="s">
        <v>33</v>
      </c>
      <c r="G24">
        <f>B15</f>
        <v>9</v>
      </c>
      <c r="H24" t="s">
        <v>18</v>
      </c>
      <c r="I24">
        <f>C12</f>
        <v>9</v>
      </c>
    </row>
    <row r="25" spans="1:9">
      <c r="F25" t="s">
        <v>33</v>
      </c>
      <c r="G25">
        <f>B15</f>
        <v>9</v>
      </c>
      <c r="H25" t="s">
        <v>18</v>
      </c>
      <c r="I25">
        <f>C13</f>
        <v>9</v>
      </c>
    </row>
    <row r="26" spans="1:9">
      <c r="F26" t="s">
        <v>34</v>
      </c>
      <c r="G26">
        <f>B16</f>
        <v>16</v>
      </c>
      <c r="H26" t="s">
        <v>18</v>
      </c>
      <c r="I26">
        <f>C15</f>
        <v>16</v>
      </c>
    </row>
    <row r="27" spans="1:9">
      <c r="F27" t="s">
        <v>35</v>
      </c>
      <c r="G27">
        <f>B17</f>
        <v>26</v>
      </c>
      <c r="H27" t="s">
        <v>18</v>
      </c>
      <c r="I27">
        <f>C14</f>
        <v>17</v>
      </c>
    </row>
    <row r="28" spans="1:9">
      <c r="F28" t="s">
        <v>35</v>
      </c>
      <c r="G28">
        <f>B17</f>
        <v>26</v>
      </c>
      <c r="H28" t="s">
        <v>18</v>
      </c>
      <c r="I28">
        <f>C16</f>
        <v>26</v>
      </c>
    </row>
    <row r="29" spans="1:9">
      <c r="F29" t="s">
        <v>36</v>
      </c>
      <c r="G29">
        <f>B18</f>
        <v>26</v>
      </c>
      <c r="H29" t="s">
        <v>18</v>
      </c>
      <c r="I29">
        <f>C16</f>
        <v>26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32F8E-85A1-4D9B-B341-B089B313DA7A}">
  <dimension ref="A1:H29"/>
  <sheetViews>
    <sheetView workbookViewId="0">
      <selection activeCell="G4" sqref="G4"/>
    </sheetView>
  </sheetViews>
  <sheetFormatPr baseColWidth="10" defaultColWidth="8.83203125" defaultRowHeight="15"/>
  <cols>
    <col min="1" max="1" width="16.5" bestFit="1" customWidth="1"/>
    <col min="2" max="2" width="21.1640625" bestFit="1" customWidth="1"/>
    <col min="3" max="3" width="18.6640625" bestFit="1" customWidth="1"/>
    <col min="4" max="4" width="19.83203125" bestFit="1" customWidth="1"/>
    <col min="5" max="5" width="17" bestFit="1" customWidth="1"/>
    <col min="6" max="6" width="13.83203125" bestFit="1" customWidth="1"/>
    <col min="7" max="7" width="9.5" customWidth="1"/>
    <col min="8" max="8" width="10.6640625" customWidth="1"/>
    <col min="9" max="9" width="19.83203125" bestFit="1" customWidth="1"/>
    <col min="10" max="10" width="17" bestFit="1" customWidth="1"/>
  </cols>
  <sheetData>
    <row r="1" spans="1:8">
      <c r="A1" s="1" t="s">
        <v>124</v>
      </c>
      <c r="B1" s="1" t="s">
        <v>128</v>
      </c>
      <c r="C1" s="1" t="s">
        <v>129</v>
      </c>
    </row>
    <row r="2" spans="1:8">
      <c r="A2" s="1" t="s">
        <v>130</v>
      </c>
      <c r="B2" s="61">
        <v>4.5</v>
      </c>
      <c r="C2" s="62">
        <v>3</v>
      </c>
    </row>
    <row r="3" spans="1:8">
      <c r="A3" s="1" t="s">
        <v>131</v>
      </c>
      <c r="B3" s="61">
        <v>3.5</v>
      </c>
      <c r="C3" s="62">
        <v>6</v>
      </c>
      <c r="E3" s="1"/>
      <c r="F3" s="1"/>
      <c r="G3" s="1" t="s">
        <v>15</v>
      </c>
    </row>
    <row r="4" spans="1:8">
      <c r="E4" s="1" t="s">
        <v>154</v>
      </c>
      <c r="F4" s="65" t="s">
        <v>153</v>
      </c>
      <c r="G4" s="1">
        <f>(12*SUM(B27:B29))+(12*SUM(C27:C29))</f>
        <v>8400</v>
      </c>
    </row>
    <row r="5" spans="1:8">
      <c r="A5" s="1"/>
      <c r="B5" s="1" t="s">
        <v>132</v>
      </c>
      <c r="C5" s="1" t="s">
        <v>133</v>
      </c>
      <c r="E5" s="1" t="s">
        <v>155</v>
      </c>
      <c r="F5" s="65"/>
      <c r="G5" s="1">
        <f>(10*SUM(D27:D29))+(10*SUM(E27:E29))</f>
        <v>10000</v>
      </c>
    </row>
    <row r="6" spans="1:8">
      <c r="A6" s="1" t="s">
        <v>134</v>
      </c>
      <c r="B6" s="61">
        <v>2.25</v>
      </c>
      <c r="C6" s="61">
        <v>5.75</v>
      </c>
      <c r="E6" s="1" t="s">
        <v>156</v>
      </c>
      <c r="F6" s="68" t="s">
        <v>158</v>
      </c>
      <c r="G6" s="1">
        <f>(17*SUM(B27:B29)+(17*SUM(D27:D29)))</f>
        <v>17000</v>
      </c>
    </row>
    <row r="7" spans="1:8">
      <c r="A7" s="1" t="s">
        <v>135</v>
      </c>
      <c r="B7" s="61">
        <v>3.35</v>
      </c>
      <c r="C7" s="61">
        <v>2.95</v>
      </c>
      <c r="E7" s="1" t="s">
        <v>157</v>
      </c>
      <c r="F7" s="68"/>
      <c r="G7" s="1">
        <f>(15*SUM(C27:C29))+(15*SUM(E27:E29))</f>
        <v>10500</v>
      </c>
    </row>
    <row r="8" spans="1:8">
      <c r="A8" s="1" t="s">
        <v>136</v>
      </c>
      <c r="B8" s="62">
        <v>6</v>
      </c>
      <c r="C8" s="61">
        <v>7.1</v>
      </c>
      <c r="E8" s="1" t="s">
        <v>160</v>
      </c>
      <c r="F8" s="68" t="s">
        <v>159</v>
      </c>
      <c r="G8" s="1">
        <f>(4.5*SUM(B27:B29))+(3.5*SUM(D27:D29))</f>
        <v>3500</v>
      </c>
    </row>
    <row r="9" spans="1:8">
      <c r="E9" s="1" t="s">
        <v>161</v>
      </c>
      <c r="F9" s="68"/>
      <c r="G9" s="1">
        <f>(3*SUM(C27:C29))+(6*SUM(E27:E29))</f>
        <v>2100</v>
      </c>
    </row>
    <row r="10" spans="1:8">
      <c r="E10" s="1" t="s">
        <v>134</v>
      </c>
      <c r="F10" s="68" t="s">
        <v>159</v>
      </c>
      <c r="G10" s="64">
        <f>(2.25*SUM(B27,D27))+(5.75*SUM(C27,E27))</f>
        <v>1350</v>
      </c>
    </row>
    <row r="11" spans="1:8">
      <c r="A11" t="s">
        <v>137</v>
      </c>
      <c r="B11">
        <v>600</v>
      </c>
      <c r="E11" s="1" t="s">
        <v>135</v>
      </c>
      <c r="F11" s="68"/>
      <c r="G11" s="64">
        <f>(3.35*SUM(B28,D28))+(2.95*SUM(C28,E28))</f>
        <v>1180</v>
      </c>
    </row>
    <row r="12" spans="1:8">
      <c r="A12" t="s">
        <v>138</v>
      </c>
      <c r="B12">
        <v>400</v>
      </c>
      <c r="E12" s="1" t="s">
        <v>136</v>
      </c>
      <c r="F12" s="68"/>
      <c r="G12" s="64">
        <f>(6*SUM(B29,D29))+(7.1*SUM(C29,E29))</f>
        <v>4530</v>
      </c>
    </row>
    <row r="13" spans="1:8">
      <c r="A13" t="s">
        <v>139</v>
      </c>
      <c r="B13">
        <v>700</v>
      </c>
      <c r="G13" s="63">
        <f>SUM(G4:G12)</f>
        <v>58560</v>
      </c>
    </row>
    <row r="15" spans="1:8">
      <c r="A15" t="s">
        <v>140</v>
      </c>
      <c r="B15">
        <v>800</v>
      </c>
      <c r="C15" t="s">
        <v>142</v>
      </c>
      <c r="F15" t="s">
        <v>16</v>
      </c>
    </row>
    <row r="16" spans="1:8">
      <c r="A16" t="s">
        <v>141</v>
      </c>
      <c r="B16">
        <v>1000</v>
      </c>
      <c r="C16" t="s">
        <v>143</v>
      </c>
      <c r="E16" t="s">
        <v>140</v>
      </c>
      <c r="F16">
        <f>SUM(B27:C29)</f>
        <v>700</v>
      </c>
      <c r="G16" t="s">
        <v>17</v>
      </c>
      <c r="H16">
        <v>800</v>
      </c>
    </row>
    <row r="17" spans="1:8">
      <c r="E17" t="s">
        <v>141</v>
      </c>
      <c r="F17">
        <f>SUM(D27:E29)</f>
        <v>1000</v>
      </c>
      <c r="G17" t="s">
        <v>17</v>
      </c>
      <c r="H17">
        <v>1000</v>
      </c>
    </row>
    <row r="18" spans="1:8">
      <c r="A18" t="s">
        <v>145</v>
      </c>
      <c r="B18">
        <v>1000</v>
      </c>
      <c r="C18" t="s">
        <v>147</v>
      </c>
      <c r="E18" t="s">
        <v>162</v>
      </c>
      <c r="F18">
        <f>SUM(B27:B29,D27:D29)</f>
        <v>1000</v>
      </c>
      <c r="G18" t="s">
        <v>17</v>
      </c>
      <c r="H18">
        <v>1000</v>
      </c>
    </row>
    <row r="19" spans="1:8">
      <c r="A19" t="s">
        <v>146</v>
      </c>
      <c r="B19">
        <v>700</v>
      </c>
      <c r="C19" t="s">
        <v>148</v>
      </c>
      <c r="E19" t="s">
        <v>163</v>
      </c>
      <c r="F19">
        <f>SUM(C27:C29,E27:E29)</f>
        <v>700</v>
      </c>
      <c r="G19" t="s">
        <v>17</v>
      </c>
      <c r="H19">
        <v>700</v>
      </c>
    </row>
    <row r="20" spans="1:8">
      <c r="E20" t="s">
        <v>164</v>
      </c>
      <c r="F20">
        <f>SUM(B27:E27)</f>
        <v>600</v>
      </c>
      <c r="G20" t="s">
        <v>18</v>
      </c>
      <c r="H20">
        <v>600</v>
      </c>
    </row>
    <row r="21" spans="1:8">
      <c r="E21" t="s">
        <v>138</v>
      </c>
      <c r="F21">
        <f>SUM(B28:E28)</f>
        <v>400</v>
      </c>
      <c r="G21" t="s">
        <v>18</v>
      </c>
      <c r="H21">
        <v>400</v>
      </c>
    </row>
    <row r="22" spans="1:8">
      <c r="E22" t="s">
        <v>139</v>
      </c>
      <c r="F22">
        <f>SUM(B29:E29)</f>
        <v>700</v>
      </c>
      <c r="G22" t="s">
        <v>18</v>
      </c>
      <c r="H22">
        <v>700</v>
      </c>
    </row>
    <row r="25" spans="1:8">
      <c r="B25" t="s">
        <v>144</v>
      </c>
    </row>
    <row r="26" spans="1:8">
      <c r="A26" s="1"/>
      <c r="B26" s="1" t="s">
        <v>149</v>
      </c>
      <c r="C26" s="1" t="s">
        <v>150</v>
      </c>
      <c r="D26" s="1" t="s">
        <v>151</v>
      </c>
      <c r="E26" s="1" t="s">
        <v>152</v>
      </c>
    </row>
    <row r="27" spans="1:8">
      <c r="A27" s="1" t="s">
        <v>134</v>
      </c>
      <c r="B27" s="1">
        <v>0</v>
      </c>
      <c r="C27" s="1">
        <v>0</v>
      </c>
      <c r="D27" s="1">
        <v>600</v>
      </c>
      <c r="E27" s="1">
        <v>0</v>
      </c>
    </row>
    <row r="28" spans="1:8">
      <c r="A28" s="1" t="s">
        <v>135</v>
      </c>
      <c r="B28" s="1">
        <v>0</v>
      </c>
      <c r="C28" s="1">
        <v>400</v>
      </c>
      <c r="D28" s="1">
        <v>0</v>
      </c>
      <c r="E28" s="1">
        <v>0</v>
      </c>
    </row>
    <row r="29" spans="1:8">
      <c r="A29" s="1" t="s">
        <v>136</v>
      </c>
      <c r="B29" s="1">
        <v>0</v>
      </c>
      <c r="C29" s="1">
        <v>300</v>
      </c>
      <c r="D29" s="1">
        <v>400</v>
      </c>
      <c r="E29" s="1">
        <v>0</v>
      </c>
    </row>
  </sheetData>
  <mergeCells count="3">
    <mergeCell ref="F6:F7"/>
    <mergeCell ref="F8:F9"/>
    <mergeCell ref="F10:F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2AE65-5E2B-4DBD-866A-384B49892CA5}">
  <dimension ref="A1:L19"/>
  <sheetViews>
    <sheetView tabSelected="1" workbookViewId="0">
      <selection activeCell="G19" sqref="G19"/>
    </sheetView>
  </sheetViews>
  <sheetFormatPr baseColWidth="10" defaultColWidth="9.1640625" defaultRowHeight="14"/>
  <cols>
    <col min="1" max="1" width="13.5" style="7" bestFit="1" customWidth="1"/>
    <col min="2" max="2" width="15" style="7" bestFit="1" customWidth="1"/>
    <col min="3" max="4" width="13.1640625" style="7" bestFit="1" customWidth="1"/>
    <col min="5" max="5" width="9.1640625" style="7"/>
    <col min="6" max="6" width="11.83203125" style="7" bestFit="1" customWidth="1"/>
    <col min="7" max="7" width="15.5" style="7" bestFit="1" customWidth="1"/>
    <col min="8" max="8" width="12.5" style="7" bestFit="1" customWidth="1"/>
    <col min="9" max="9" width="15.1640625" style="7" bestFit="1" customWidth="1"/>
    <col min="10" max="10" width="9.1640625" style="7"/>
    <col min="11" max="11" width="9.1640625" style="7" customWidth="1"/>
    <col min="12" max="16384" width="9.1640625" style="7"/>
  </cols>
  <sheetData>
    <row r="1" spans="1:12" ht="16" thickBot="1">
      <c r="A1" s="4"/>
      <c r="B1" s="5" t="s">
        <v>46</v>
      </c>
      <c r="C1" s="5" t="s">
        <v>47</v>
      </c>
      <c r="D1" s="5" t="s">
        <v>48</v>
      </c>
      <c r="E1" s="5" t="s">
        <v>49</v>
      </c>
      <c r="F1" s="5" t="s">
        <v>50</v>
      </c>
      <c r="G1" s="6" t="s">
        <v>51</v>
      </c>
    </row>
    <row r="2" spans="1:12" ht="17" thickTop="1" thickBot="1">
      <c r="A2" s="8" t="s">
        <v>46</v>
      </c>
      <c r="B2" s="8">
        <v>1</v>
      </c>
      <c r="C2" s="8">
        <v>0.76900000000000002</v>
      </c>
      <c r="D2" s="8">
        <v>0.625</v>
      </c>
      <c r="E2" s="8">
        <v>105</v>
      </c>
      <c r="F2" s="8">
        <v>0.34200000000000003</v>
      </c>
      <c r="G2" s="9">
        <v>5</v>
      </c>
    </row>
    <row r="3" spans="1:12" ht="16" thickBot="1">
      <c r="A3" s="10" t="s">
        <v>47</v>
      </c>
      <c r="B3" s="10">
        <f>1/0.769</f>
        <v>1.3003901170351104</v>
      </c>
      <c r="C3" s="10">
        <v>1</v>
      </c>
      <c r="D3" s="10">
        <v>0.81299999999999994</v>
      </c>
      <c r="E3" s="10">
        <v>137</v>
      </c>
      <c r="F3" s="10">
        <v>0.44500000000000001</v>
      </c>
      <c r="G3" s="11">
        <v>3</v>
      </c>
    </row>
    <row r="4" spans="1:12" ht="16" thickBot="1">
      <c r="A4" s="12" t="s">
        <v>48</v>
      </c>
      <c r="B4" s="12">
        <f>1/0.625</f>
        <v>1.6</v>
      </c>
      <c r="C4" s="12">
        <f>1/0.813</f>
        <v>1.2300123001230012</v>
      </c>
      <c r="D4" s="12">
        <v>1</v>
      </c>
      <c r="E4" s="12">
        <v>169</v>
      </c>
      <c r="F4" s="12">
        <v>0.54300000000000004</v>
      </c>
      <c r="G4" s="13">
        <v>3.5</v>
      </c>
    </row>
    <row r="5" spans="1:12" ht="16" thickBot="1">
      <c r="A5" s="10" t="s">
        <v>49</v>
      </c>
      <c r="B5" s="10">
        <f>1/105</f>
        <v>9.5238095238095247E-3</v>
      </c>
      <c r="C5" s="10">
        <f>1/137</f>
        <v>7.2992700729927005E-3</v>
      </c>
      <c r="D5" s="10">
        <f>1/169</f>
        <v>5.9171597633136093E-3</v>
      </c>
      <c r="E5" s="10">
        <v>1</v>
      </c>
      <c r="F5" s="10">
        <v>3.2000000000000002E-3</v>
      </c>
      <c r="G5" s="11">
        <v>100</v>
      </c>
    </row>
    <row r="6" spans="1:12" ht="16" thickBot="1">
      <c r="A6" s="12" t="s">
        <v>50</v>
      </c>
      <c r="B6" s="12">
        <f>1/0.342</f>
        <v>2.9239766081871341</v>
      </c>
      <c r="C6" s="12">
        <f>1/0.445</f>
        <v>2.2471910112359552</v>
      </c>
      <c r="D6" s="12">
        <f>1/0.543</f>
        <v>1.8416206261510129</v>
      </c>
      <c r="E6" s="12">
        <f>1/0.0032</f>
        <v>312.5</v>
      </c>
      <c r="F6" s="12">
        <v>1</v>
      </c>
      <c r="G6" s="13">
        <v>2.8</v>
      </c>
    </row>
    <row r="8" spans="1:12">
      <c r="A8" s="7" t="s">
        <v>52</v>
      </c>
      <c r="B8" s="14">
        <v>5</v>
      </c>
    </row>
    <row r="9" spans="1:12" ht="15" thickBot="1"/>
    <row r="10" spans="1:12" ht="16" thickBot="1">
      <c r="A10" s="4"/>
      <c r="B10" s="5" t="s">
        <v>46</v>
      </c>
      <c r="C10" s="5" t="s">
        <v>47</v>
      </c>
      <c r="D10" s="5" t="s">
        <v>48</v>
      </c>
      <c r="E10" s="5" t="s">
        <v>49</v>
      </c>
      <c r="F10" s="5" t="s">
        <v>50</v>
      </c>
      <c r="G10" s="7" t="s">
        <v>53</v>
      </c>
      <c r="I10" s="7" t="s">
        <v>54</v>
      </c>
    </row>
    <row r="11" spans="1:12" ht="17" thickTop="1" thickBot="1">
      <c r="A11" s="8" t="s">
        <v>46</v>
      </c>
      <c r="B11" s="8">
        <v>0</v>
      </c>
      <c r="C11" s="8">
        <v>0</v>
      </c>
      <c r="D11" s="8">
        <v>0</v>
      </c>
      <c r="E11" s="8">
        <v>1.6666666666665395</v>
      </c>
      <c r="F11" s="8">
        <v>0</v>
      </c>
      <c r="G11" s="7">
        <f>SUM(B11:F11)</f>
        <v>1.6666666666665395</v>
      </c>
      <c r="H11" s="7" t="s">
        <v>18</v>
      </c>
      <c r="I11" s="7">
        <f>B16</f>
        <v>1.6666666666665404</v>
      </c>
      <c r="K11" s="7">
        <v>1</v>
      </c>
    </row>
    <row r="12" spans="1:12" ht="16" thickBot="1">
      <c r="A12" s="10" t="s">
        <v>47</v>
      </c>
      <c r="B12" s="10">
        <v>0</v>
      </c>
      <c r="C12" s="10">
        <v>0</v>
      </c>
      <c r="D12" s="10">
        <v>0</v>
      </c>
      <c r="E12" s="10">
        <v>0</v>
      </c>
      <c r="F12" s="10">
        <v>0</v>
      </c>
      <c r="G12" s="7">
        <f t="shared" ref="G12:G15" si="0">SUM(B12:F12)</f>
        <v>0</v>
      </c>
      <c r="H12" s="7" t="s">
        <v>18</v>
      </c>
      <c r="I12" s="7">
        <f>C16</f>
        <v>0</v>
      </c>
      <c r="K12" s="7">
        <v>0.76900000000000002</v>
      </c>
    </row>
    <row r="13" spans="1:12" ht="16" thickBot="1">
      <c r="A13" s="12" t="s">
        <v>48</v>
      </c>
      <c r="B13" s="12">
        <v>0</v>
      </c>
      <c r="C13" s="12">
        <v>0</v>
      </c>
      <c r="D13" s="12">
        <v>0</v>
      </c>
      <c r="E13" s="12">
        <v>0</v>
      </c>
      <c r="F13" s="12">
        <v>0</v>
      </c>
      <c r="G13" s="7">
        <f t="shared" si="0"/>
        <v>0</v>
      </c>
      <c r="H13" s="7" t="s">
        <v>18</v>
      </c>
      <c r="I13" s="7">
        <f>D16</f>
        <v>0</v>
      </c>
      <c r="K13" s="7">
        <v>0.625</v>
      </c>
    </row>
    <row r="14" spans="1:12" ht="16" thickBot="1">
      <c r="A14" s="10" t="s">
        <v>49</v>
      </c>
      <c r="B14" s="10">
        <v>0</v>
      </c>
      <c r="C14" s="10">
        <v>0</v>
      </c>
      <c r="D14" s="10">
        <v>0</v>
      </c>
      <c r="E14" s="10">
        <v>0</v>
      </c>
      <c r="F14" s="10">
        <v>178.12499999998138</v>
      </c>
      <c r="G14" s="7">
        <f>SUM(B14:F14)</f>
        <v>178.12499999998138</v>
      </c>
      <c r="H14" s="7" t="s">
        <v>18</v>
      </c>
      <c r="I14" s="7">
        <f>E16</f>
        <v>174.99999999998664</v>
      </c>
      <c r="K14" s="7">
        <v>105</v>
      </c>
    </row>
    <row r="15" spans="1:12" ht="16" thickBot="1">
      <c r="A15" s="12" t="s">
        <v>50</v>
      </c>
      <c r="B15" s="12">
        <v>0.56999999999995687</v>
      </c>
      <c r="C15" s="12">
        <v>0</v>
      </c>
      <c r="D15" s="12">
        <v>0</v>
      </c>
      <c r="E15" s="12">
        <v>0</v>
      </c>
      <c r="F15" s="12">
        <v>0</v>
      </c>
      <c r="G15" s="7">
        <f t="shared" si="0"/>
        <v>0.56999999999995687</v>
      </c>
      <c r="H15" s="7" t="s">
        <v>18</v>
      </c>
      <c r="I15" s="7">
        <f>F16</f>
        <v>0.56999999999994044</v>
      </c>
      <c r="K15" s="7">
        <v>0.34200000000000003</v>
      </c>
    </row>
    <row r="16" spans="1:12">
      <c r="A16" s="7" t="s">
        <v>54</v>
      </c>
      <c r="B16" s="7">
        <f>SUMPRODUCT(B2:B6*B11:B15)</f>
        <v>1.6666666666665404</v>
      </c>
      <c r="C16" s="7">
        <f>SUMPRODUCT(C2:C6*C11:C15)</f>
        <v>0</v>
      </c>
      <c r="D16" s="7">
        <f t="shared" ref="D16" si="1">SUMPRODUCT(D2:D6*D11:D15)</f>
        <v>0</v>
      </c>
      <c r="E16" s="7">
        <f>SUMPRODUCT(E2:E6*E11:E15)</f>
        <v>174.99999999998664</v>
      </c>
      <c r="F16" s="7">
        <f>SUMPRODUCT(F2:F6*F11:F15)</f>
        <v>0.56999999999994044</v>
      </c>
      <c r="L16" s="15"/>
    </row>
    <row r="18" spans="7:11">
      <c r="G18" s="7" t="s">
        <v>55</v>
      </c>
      <c r="I18" s="7" t="s">
        <v>56</v>
      </c>
    </row>
    <row r="19" spans="7:11">
      <c r="G19" s="7">
        <f>SUMPRODUCT(G11:G15,B2:B6)</f>
        <v>5.0297619047614734</v>
      </c>
      <c r="I19" s="7">
        <f>SUMPRODUCT(I11:I15,B2:B6)</f>
        <v>4.9999999999995719</v>
      </c>
      <c r="J19" s="7" t="s">
        <v>17</v>
      </c>
      <c r="K19" s="14">
        <f>B8</f>
        <v>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F008-115A-450E-A472-A5FD2A1A542D}">
  <dimension ref="A1:I19"/>
  <sheetViews>
    <sheetView workbookViewId="0">
      <selection activeCell="C19" sqref="C19"/>
    </sheetView>
  </sheetViews>
  <sheetFormatPr baseColWidth="10" defaultColWidth="8.83203125" defaultRowHeight="15"/>
  <sheetData>
    <row r="1" spans="1:9" ht="16" thickBot="1">
      <c r="A1" s="4"/>
      <c r="B1" s="5" t="s">
        <v>46</v>
      </c>
      <c r="C1" s="5" t="s">
        <v>47</v>
      </c>
      <c r="D1" s="5" t="s">
        <v>48</v>
      </c>
      <c r="E1" s="5" t="s">
        <v>49</v>
      </c>
      <c r="F1" s="5" t="s">
        <v>50</v>
      </c>
    </row>
    <row r="2" spans="1:9" ht="17" thickTop="1" thickBot="1">
      <c r="A2" s="8" t="s">
        <v>46</v>
      </c>
      <c r="B2" s="8">
        <v>1</v>
      </c>
      <c r="C2" s="8">
        <v>0.76900000000000002</v>
      </c>
      <c r="D2" s="8">
        <v>0.625</v>
      </c>
      <c r="E2" s="8">
        <v>105</v>
      </c>
      <c r="F2" s="8">
        <v>0.34200000000000003</v>
      </c>
    </row>
    <row r="3" spans="1:9" ht="16" thickBot="1">
      <c r="A3" s="10" t="s">
        <v>47</v>
      </c>
      <c r="B3" s="10">
        <f>1/0.769</f>
        <v>1.3003901170351104</v>
      </c>
      <c r="C3" s="10">
        <v>1</v>
      </c>
      <c r="D3" s="10">
        <v>0.81299999999999994</v>
      </c>
      <c r="E3" s="10">
        <v>137</v>
      </c>
      <c r="F3" s="10">
        <v>0.44500000000000001</v>
      </c>
    </row>
    <row r="4" spans="1:9" ht="16" thickBot="1">
      <c r="A4" s="12" t="s">
        <v>48</v>
      </c>
      <c r="B4" s="12">
        <f>1/0.625</f>
        <v>1.6</v>
      </c>
      <c r="C4" s="12">
        <f>1/0.813</f>
        <v>1.2300123001230012</v>
      </c>
      <c r="D4" s="12">
        <v>1</v>
      </c>
      <c r="E4" s="12">
        <v>169</v>
      </c>
      <c r="F4" s="12">
        <v>0.54300000000000004</v>
      </c>
    </row>
    <row r="5" spans="1:9" ht="16" thickBot="1">
      <c r="A5" s="10" t="s">
        <v>49</v>
      </c>
      <c r="B5" s="10">
        <f>1/105</f>
        <v>9.5238095238095247E-3</v>
      </c>
      <c r="C5" s="10">
        <f>1/137</f>
        <v>7.2992700729927005E-3</v>
      </c>
      <c r="D5" s="10">
        <f>1/169</f>
        <v>5.9171597633136093E-3</v>
      </c>
      <c r="E5" s="10">
        <v>1</v>
      </c>
      <c r="F5" s="10">
        <v>3.2000000000000002E-3</v>
      </c>
    </row>
    <row r="6" spans="1:9" ht="16" thickBot="1">
      <c r="A6" s="12" t="s">
        <v>50</v>
      </c>
      <c r="B6" s="12">
        <f>1/0.342</f>
        <v>2.9239766081871341</v>
      </c>
      <c r="C6" s="12">
        <f>1/0.445</f>
        <v>2.2471910112359552</v>
      </c>
      <c r="D6" s="12">
        <f>1/0.543</f>
        <v>1.8416206261510129</v>
      </c>
      <c r="E6" s="12">
        <f>1/0.0032</f>
        <v>312.5</v>
      </c>
      <c r="F6" s="12">
        <v>1</v>
      </c>
    </row>
    <row r="8" spans="1:9" ht="16" thickBot="1"/>
    <row r="9" spans="1:9" ht="16" thickBot="1">
      <c r="A9" s="4"/>
      <c r="B9" s="5" t="s">
        <v>46</v>
      </c>
      <c r="C9" s="5" t="s">
        <v>47</v>
      </c>
      <c r="D9" s="5" t="s">
        <v>48</v>
      </c>
      <c r="E9" s="5" t="s">
        <v>49</v>
      </c>
      <c r="F9" s="5" t="s">
        <v>50</v>
      </c>
      <c r="G9" s="7" t="s">
        <v>53</v>
      </c>
      <c r="I9" t="s">
        <v>57</v>
      </c>
    </row>
    <row r="10" spans="1:9" ht="17" thickTop="1" thickBot="1">
      <c r="A10" s="8" t="s">
        <v>46</v>
      </c>
      <c r="B10" s="8">
        <v>0</v>
      </c>
      <c r="C10" s="8">
        <v>0</v>
      </c>
      <c r="D10" s="8">
        <v>0</v>
      </c>
      <c r="E10" s="8">
        <v>33.333333333330799</v>
      </c>
      <c r="F10" s="8">
        <v>0</v>
      </c>
      <c r="G10" s="7">
        <f>SUM(B10:F10)</f>
        <v>33.333333333330799</v>
      </c>
      <c r="H10" t="s">
        <v>18</v>
      </c>
      <c r="I10">
        <f>B15</f>
        <v>33.333333333330813</v>
      </c>
    </row>
    <row r="11" spans="1:9" ht="16" thickBot="1">
      <c r="A11" s="10" t="s">
        <v>47</v>
      </c>
      <c r="B11" s="10">
        <v>0</v>
      </c>
      <c r="C11" s="10">
        <v>0</v>
      </c>
      <c r="D11" s="10">
        <v>0</v>
      </c>
      <c r="E11" s="10">
        <v>0</v>
      </c>
      <c r="F11" s="10">
        <v>0</v>
      </c>
      <c r="G11" s="7">
        <f t="shared" ref="G11:G14" si="0">SUM(B11:F11)</f>
        <v>0</v>
      </c>
      <c r="H11" t="s">
        <v>18</v>
      </c>
      <c r="I11">
        <f>C15</f>
        <v>0</v>
      </c>
    </row>
    <row r="12" spans="1:9" ht="16" thickBot="1">
      <c r="A12" s="12" t="s">
        <v>48</v>
      </c>
      <c r="B12" s="12">
        <v>0</v>
      </c>
      <c r="C12" s="12">
        <v>0</v>
      </c>
      <c r="D12" s="12">
        <v>0</v>
      </c>
      <c r="E12" s="12">
        <v>0</v>
      </c>
      <c r="F12" s="12">
        <v>0</v>
      </c>
      <c r="G12" s="7">
        <f t="shared" si="0"/>
        <v>0</v>
      </c>
      <c r="H12" t="s">
        <v>18</v>
      </c>
      <c r="I12">
        <f>D15</f>
        <v>0</v>
      </c>
    </row>
    <row r="13" spans="1:9" ht="16" thickBot="1">
      <c r="A13" s="10" t="s">
        <v>49</v>
      </c>
      <c r="B13" s="10">
        <v>0</v>
      </c>
      <c r="C13" s="10">
        <v>0</v>
      </c>
      <c r="D13" s="10">
        <v>0</v>
      </c>
      <c r="E13" s="10">
        <v>0</v>
      </c>
      <c r="F13" s="10">
        <v>3562.4999999996285</v>
      </c>
      <c r="G13" s="7">
        <f t="shared" si="0"/>
        <v>3562.4999999996285</v>
      </c>
      <c r="H13" t="s">
        <v>18</v>
      </c>
      <c r="I13">
        <f>E15</f>
        <v>3499.999999999734</v>
      </c>
    </row>
    <row r="14" spans="1:9" ht="16" thickBot="1">
      <c r="A14" s="12" t="s">
        <v>50</v>
      </c>
      <c r="B14" s="12">
        <v>11.399999999999141</v>
      </c>
      <c r="C14" s="12">
        <v>0</v>
      </c>
      <c r="D14" s="12">
        <v>0</v>
      </c>
      <c r="E14" s="12">
        <v>0</v>
      </c>
      <c r="F14" s="12">
        <v>0</v>
      </c>
      <c r="G14" s="7">
        <f t="shared" si="0"/>
        <v>11.399999999999141</v>
      </c>
      <c r="H14" t="s">
        <v>18</v>
      </c>
      <c r="I14">
        <f>F15</f>
        <v>11.399999999998812</v>
      </c>
    </row>
    <row r="15" spans="1:9">
      <c r="A15" s="7" t="s">
        <v>54</v>
      </c>
      <c r="B15" s="7">
        <f>SUMPRODUCT(B2:B6,B10:B14)</f>
        <v>33.333333333330813</v>
      </c>
      <c r="C15" s="7">
        <f t="shared" ref="C15:F15" si="1">SUMPRODUCT(C2:C6,C10:C14)</f>
        <v>0</v>
      </c>
      <c r="D15" s="7">
        <f t="shared" si="1"/>
        <v>0</v>
      </c>
      <c r="E15" s="7">
        <f t="shared" si="1"/>
        <v>3499.999999999734</v>
      </c>
      <c r="F15" s="7">
        <f t="shared" si="1"/>
        <v>11.399999999998812</v>
      </c>
      <c r="G15" s="7"/>
    </row>
    <row r="18" spans="3:9">
      <c r="C18" s="3" t="s">
        <v>55</v>
      </c>
      <c r="G18" t="s">
        <v>56</v>
      </c>
    </row>
    <row r="19" spans="3:9">
      <c r="C19" s="3">
        <f>SUMPRODUCT(G10:G14,B2:B6)</f>
        <v>100.5952380952295</v>
      </c>
      <c r="G19">
        <f>SUMPRODUCT(I10:I14,B2:B6)</f>
        <v>99.999999999991473</v>
      </c>
      <c r="H19" t="s">
        <v>17</v>
      </c>
      <c r="I19">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0DC1B-1124-4ADC-A4C2-832366B9EA8B}">
  <dimension ref="A5:N29"/>
  <sheetViews>
    <sheetView topLeftCell="A8" workbookViewId="0">
      <selection activeCell="N39" sqref="N39"/>
    </sheetView>
  </sheetViews>
  <sheetFormatPr baseColWidth="10" defaultColWidth="8.83203125" defaultRowHeight="15"/>
  <cols>
    <col min="1" max="1" width="13.6640625" customWidth="1"/>
    <col min="10" max="10" width="12" bestFit="1" customWidth="1"/>
    <col min="12" max="12" width="12" bestFit="1" customWidth="1"/>
  </cols>
  <sheetData>
    <row r="5" spans="1:9">
      <c r="A5" s="70" t="s">
        <v>58</v>
      </c>
      <c r="B5" s="70"/>
      <c r="C5" s="71" t="s">
        <v>59</v>
      </c>
      <c r="D5" s="71"/>
      <c r="E5" s="71"/>
      <c r="F5" s="71"/>
      <c r="G5" s="71"/>
      <c r="H5" s="71"/>
      <c r="I5" s="71"/>
    </row>
    <row r="6" spans="1:9" ht="16" thickBot="1">
      <c r="A6" s="16"/>
      <c r="C6" s="17" t="s">
        <v>60</v>
      </c>
      <c r="D6" s="17" t="s">
        <v>61</v>
      </c>
      <c r="E6" s="17" t="s">
        <v>62</v>
      </c>
      <c r="F6" s="17" t="s">
        <v>63</v>
      </c>
      <c r="G6" s="17" t="s">
        <v>64</v>
      </c>
      <c r="H6" s="17" t="s">
        <v>65</v>
      </c>
      <c r="I6" s="17" t="s">
        <v>66</v>
      </c>
    </row>
    <row r="7" spans="1:9">
      <c r="A7" s="69" t="s">
        <v>67</v>
      </c>
      <c r="B7" s="17" t="s">
        <v>60</v>
      </c>
      <c r="C7" s="18">
        <v>1</v>
      </c>
      <c r="D7" s="19">
        <v>76.924999999999997</v>
      </c>
      <c r="E7" s="19">
        <v>0.70909999999999995</v>
      </c>
      <c r="F7" s="19">
        <v>0.99019999999999997</v>
      </c>
      <c r="G7" s="19">
        <v>0.62109999999999999</v>
      </c>
      <c r="H7" s="19">
        <v>0.94889999999999997</v>
      </c>
      <c r="I7" s="20">
        <v>0.78269999999999995</v>
      </c>
    </row>
    <row r="8" spans="1:9">
      <c r="A8" s="69"/>
      <c r="B8" s="17" t="s">
        <v>61</v>
      </c>
      <c r="C8" s="21">
        <v>1.2999999999999999E-2</v>
      </c>
      <c r="D8">
        <v>1</v>
      </c>
      <c r="E8">
        <v>9.1999999999999998E-3</v>
      </c>
      <c r="F8">
        <v>1.29E-2</v>
      </c>
      <c r="G8">
        <v>8.0999999999999996E-3</v>
      </c>
      <c r="H8">
        <v>1.3299999999999999E-2</v>
      </c>
      <c r="I8" s="22">
        <v>1.0200000000000001E-2</v>
      </c>
    </row>
    <row r="9" spans="1:9">
      <c r="A9" s="69"/>
      <c r="B9" s="17" t="s">
        <v>62</v>
      </c>
      <c r="C9" s="21">
        <v>1.4101999999999999</v>
      </c>
      <c r="D9">
        <v>108.47969999999999</v>
      </c>
      <c r="E9">
        <v>1</v>
      </c>
      <c r="F9">
        <v>1.3963000000000001</v>
      </c>
      <c r="G9">
        <v>0.87590000000000001</v>
      </c>
      <c r="H9">
        <v>1.3381000000000001</v>
      </c>
      <c r="I9" s="22">
        <v>1.1037999999999999</v>
      </c>
    </row>
    <row r="10" spans="1:9">
      <c r="A10" s="69"/>
      <c r="B10" s="17" t="s">
        <v>63</v>
      </c>
      <c r="C10" s="21">
        <v>1.0099</v>
      </c>
      <c r="D10">
        <v>77.690299999999993</v>
      </c>
      <c r="E10">
        <v>0.71619999999999995</v>
      </c>
      <c r="F10">
        <v>1</v>
      </c>
      <c r="G10">
        <v>0.62729999999999997</v>
      </c>
      <c r="H10">
        <v>0.95830000000000004</v>
      </c>
      <c r="I10" s="22">
        <v>0.79049999999999998</v>
      </c>
    </row>
    <row r="11" spans="1:9">
      <c r="A11" s="69"/>
      <c r="B11" s="17" t="s">
        <v>64</v>
      </c>
      <c r="C11" s="21">
        <v>1.61</v>
      </c>
      <c r="D11">
        <v>123.8485</v>
      </c>
      <c r="E11">
        <v>1.1416999999999999</v>
      </c>
      <c r="F11">
        <v>1.5941000000000001</v>
      </c>
      <c r="G11">
        <v>1</v>
      </c>
      <c r="H11">
        <v>1.5277000000000001</v>
      </c>
      <c r="I11" s="22">
        <v>1.2602</v>
      </c>
    </row>
    <row r="12" spans="1:9">
      <c r="A12" s="69"/>
      <c r="B12" s="17" t="s">
        <v>65</v>
      </c>
      <c r="C12" s="21">
        <v>1.0538000000000001</v>
      </c>
      <c r="D12">
        <v>81.078400000000002</v>
      </c>
      <c r="E12">
        <v>0.74729999999999996</v>
      </c>
      <c r="F12">
        <v>1.0435000000000001</v>
      </c>
      <c r="G12">
        <v>0.65459999999999996</v>
      </c>
      <c r="H12">
        <v>1</v>
      </c>
      <c r="I12" s="22">
        <v>0.82489999999999997</v>
      </c>
    </row>
    <row r="13" spans="1:9" ht="16" thickBot="1">
      <c r="A13" s="69"/>
      <c r="B13" s="17" t="s">
        <v>66</v>
      </c>
      <c r="C13" s="23">
        <v>1.2776000000000001</v>
      </c>
      <c r="D13" s="24">
        <v>98.275899999999993</v>
      </c>
      <c r="E13" s="24">
        <v>0.90590000000000004</v>
      </c>
      <c r="F13" s="24">
        <v>1.2649999999999999</v>
      </c>
      <c r="G13" s="24">
        <v>0.79349999999999998</v>
      </c>
      <c r="H13" s="24">
        <v>1.2122999999999999</v>
      </c>
      <c r="I13" s="25">
        <v>1</v>
      </c>
    </row>
    <row r="16" spans="1:9" ht="16">
      <c r="A16" s="72" t="s">
        <v>68</v>
      </c>
      <c r="B16" s="72"/>
    </row>
    <row r="17" spans="1:14">
      <c r="C17" s="71" t="s">
        <v>59</v>
      </c>
      <c r="D17" s="71"/>
      <c r="E17" s="71"/>
      <c r="F17" s="71"/>
      <c r="G17" s="71"/>
      <c r="H17" s="71"/>
      <c r="I17" s="71"/>
    </row>
    <row r="18" spans="1:14" ht="16" thickBot="1">
      <c r="A18" s="16"/>
      <c r="C18" s="17" t="s">
        <v>60</v>
      </c>
      <c r="D18" s="17" t="s">
        <v>61</v>
      </c>
      <c r="E18" s="17" t="s">
        <v>62</v>
      </c>
      <c r="F18" s="17" t="s">
        <v>63</v>
      </c>
      <c r="G18" s="17" t="s">
        <v>64</v>
      </c>
      <c r="H18" s="17" t="s">
        <v>65</v>
      </c>
      <c r="I18" s="17" t="s">
        <v>66</v>
      </c>
      <c r="J18" s="26" t="s">
        <v>53</v>
      </c>
      <c r="K18" s="26"/>
      <c r="L18" s="26" t="s">
        <v>69</v>
      </c>
    </row>
    <row r="19" spans="1:14">
      <c r="A19" s="69" t="s">
        <v>67</v>
      </c>
      <c r="B19" s="17" t="s">
        <v>60</v>
      </c>
      <c r="C19" s="27">
        <v>0</v>
      </c>
      <c r="D19" s="28">
        <v>0</v>
      </c>
      <c r="E19" s="28">
        <v>0</v>
      </c>
      <c r="F19" s="28">
        <v>0</v>
      </c>
      <c r="G19" s="28">
        <v>0</v>
      </c>
      <c r="H19" s="28">
        <v>0</v>
      </c>
      <c r="I19" s="29">
        <v>29.062828087297152</v>
      </c>
      <c r="J19" s="30">
        <f>SUM(C19:I19)</f>
        <v>29.062828087297152</v>
      </c>
      <c r="K19" t="s">
        <v>18</v>
      </c>
      <c r="L19" s="31">
        <f>C26</f>
        <v>29.062828087297149</v>
      </c>
    </row>
    <row r="20" spans="1:14">
      <c r="A20" s="69"/>
      <c r="B20" s="17" t="s">
        <v>61</v>
      </c>
      <c r="C20" s="32">
        <v>0</v>
      </c>
      <c r="D20" s="33">
        <v>0</v>
      </c>
      <c r="E20" s="33">
        <v>0.40047419973650539</v>
      </c>
      <c r="F20" s="33">
        <v>0</v>
      </c>
      <c r="G20" s="33">
        <v>0</v>
      </c>
      <c r="H20" s="33">
        <v>0</v>
      </c>
      <c r="I20" s="34">
        <v>0</v>
      </c>
      <c r="J20" s="30">
        <f t="shared" ref="J20:J25" si="0">SUM(C20:I20)</f>
        <v>0.40047419973650539</v>
      </c>
      <c r="K20" t="s">
        <v>18</v>
      </c>
      <c r="L20" s="31">
        <f>D26</f>
        <v>0</v>
      </c>
    </row>
    <row r="21" spans="1:14">
      <c r="A21" s="69"/>
      <c r="B21" s="17" t="s">
        <v>62</v>
      </c>
      <c r="C21" s="32">
        <v>0</v>
      </c>
      <c r="D21" s="33">
        <v>0</v>
      </c>
      <c r="E21" s="33">
        <v>0</v>
      </c>
      <c r="F21" s="33">
        <v>0</v>
      </c>
      <c r="G21" s="33">
        <v>0</v>
      </c>
      <c r="H21" s="33">
        <v>20.610622457881476</v>
      </c>
      <c r="I21" s="34">
        <v>0</v>
      </c>
      <c r="J21" s="30">
        <f t="shared" si="0"/>
        <v>20.610622457881476</v>
      </c>
      <c r="K21" t="s">
        <v>18</v>
      </c>
      <c r="L21" s="31">
        <f>E26</f>
        <v>20.610622457881473</v>
      </c>
    </row>
    <row r="22" spans="1:14">
      <c r="A22" s="69"/>
      <c r="B22" s="17" t="s">
        <v>63</v>
      </c>
      <c r="C22" s="32">
        <v>3.5527136788005009E-15</v>
      </c>
      <c r="D22" s="33">
        <v>0</v>
      </c>
      <c r="E22" s="33">
        <v>0</v>
      </c>
      <c r="F22" s="33">
        <v>0</v>
      </c>
      <c r="G22" s="33">
        <v>0</v>
      </c>
      <c r="H22" s="33">
        <v>0</v>
      </c>
      <c r="I22" s="34">
        <v>0</v>
      </c>
      <c r="J22" s="30">
        <f t="shared" si="0"/>
        <v>3.5527136788005009E-15</v>
      </c>
      <c r="K22" t="s">
        <v>18</v>
      </c>
      <c r="L22" s="31">
        <f>F26</f>
        <v>0</v>
      </c>
    </row>
    <row r="23" spans="1:14">
      <c r="A23" s="69"/>
      <c r="B23" s="17" t="s">
        <v>64</v>
      </c>
      <c r="C23" s="32">
        <v>0</v>
      </c>
      <c r="D23" s="33">
        <v>0</v>
      </c>
      <c r="E23" s="33">
        <v>0</v>
      </c>
      <c r="F23" s="33">
        <v>0</v>
      </c>
      <c r="G23" s="33">
        <v>0</v>
      </c>
      <c r="H23" s="33">
        <v>0</v>
      </c>
      <c r="I23" s="34">
        <v>0</v>
      </c>
      <c r="J23" s="30">
        <f t="shared" si="0"/>
        <v>0</v>
      </c>
      <c r="K23" t="s">
        <v>18</v>
      </c>
      <c r="L23" s="31">
        <f>G26</f>
        <v>6.6197713977089748E-15</v>
      </c>
    </row>
    <row r="24" spans="1:14">
      <c r="A24" s="69"/>
      <c r="B24" s="17" t="s">
        <v>65</v>
      </c>
      <c r="C24" s="32">
        <v>27.579073910891196</v>
      </c>
      <c r="D24" s="33">
        <v>0</v>
      </c>
      <c r="E24" s="33">
        <v>0</v>
      </c>
      <c r="F24" s="33">
        <v>0</v>
      </c>
      <c r="G24" s="33">
        <v>0</v>
      </c>
      <c r="H24" s="33">
        <v>0</v>
      </c>
      <c r="I24" s="34">
        <v>0</v>
      </c>
      <c r="J24" s="30">
        <f t="shared" si="0"/>
        <v>27.579073910891196</v>
      </c>
      <c r="K24" t="s">
        <v>18</v>
      </c>
      <c r="L24" s="31">
        <f>H26</f>
        <v>27.579073910891204</v>
      </c>
    </row>
    <row r="25" spans="1:14" ht="16" thickBot="1">
      <c r="A25" s="69"/>
      <c r="B25" s="17" t="s">
        <v>66</v>
      </c>
      <c r="C25" s="35">
        <v>0</v>
      </c>
      <c r="D25" s="36">
        <v>0</v>
      </c>
      <c r="E25" s="36">
        <v>22.747475543927472</v>
      </c>
      <c r="F25" s="36">
        <v>0</v>
      </c>
      <c r="G25" s="36">
        <v>8.3424970355500632E-15</v>
      </c>
      <c r="H25" s="36">
        <v>0</v>
      </c>
      <c r="I25" s="37">
        <v>0</v>
      </c>
      <c r="J25" s="30">
        <f t="shared" si="0"/>
        <v>22.747475543927479</v>
      </c>
      <c r="K25" t="s">
        <v>18</v>
      </c>
      <c r="L25" s="31">
        <f>I26</f>
        <v>22.747475543927479</v>
      </c>
    </row>
    <row r="26" spans="1:14">
      <c r="B26" s="26" t="s">
        <v>69</v>
      </c>
      <c r="C26" s="31">
        <f>SUMPRODUCT(C7:C13,C19:C25)</f>
        <v>29.062828087297149</v>
      </c>
      <c r="D26" s="31">
        <f t="shared" ref="D26:I26" si="1">SUMPRODUCT(D7:D13,D19:D25)</f>
        <v>0</v>
      </c>
      <c r="E26" s="31">
        <f t="shared" si="1"/>
        <v>20.610622457881473</v>
      </c>
      <c r="F26" s="31">
        <f t="shared" si="1"/>
        <v>0</v>
      </c>
      <c r="G26" s="31">
        <f t="shared" si="1"/>
        <v>6.6197713977089748E-15</v>
      </c>
      <c r="H26" s="31">
        <f t="shared" si="1"/>
        <v>27.579073910891204</v>
      </c>
      <c r="I26" s="31">
        <f t="shared" si="1"/>
        <v>22.747475543927479</v>
      </c>
    </row>
    <row r="28" spans="1:14">
      <c r="J28" t="s">
        <v>55</v>
      </c>
      <c r="L28" t="s">
        <v>56</v>
      </c>
    </row>
    <row r="29" spans="1:14">
      <c r="J29">
        <f>SUM(J19:J25)</f>
        <v>100.40047419973381</v>
      </c>
      <c r="L29">
        <f>SUM(L19:L25)</f>
        <v>99.999999999997314</v>
      </c>
      <c r="M29" t="s">
        <v>17</v>
      </c>
      <c r="N29">
        <v>100</v>
      </c>
    </row>
  </sheetData>
  <mergeCells count="6">
    <mergeCell ref="A19:A25"/>
    <mergeCell ref="A5:B5"/>
    <mergeCell ref="C5:I5"/>
    <mergeCell ref="A7:A13"/>
    <mergeCell ref="A16:B16"/>
    <mergeCell ref="C17:I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D7EDD-3A85-46BC-A747-20906377DD21}">
  <dimension ref="A1:I18"/>
  <sheetViews>
    <sheetView workbookViewId="0">
      <selection activeCell="H11" sqref="H11"/>
    </sheetView>
  </sheetViews>
  <sheetFormatPr baseColWidth="10" defaultColWidth="8.83203125" defaultRowHeight="15"/>
  <cols>
    <col min="1" max="1" width="11.33203125" customWidth="1"/>
    <col min="2" max="2" width="10.83203125" customWidth="1"/>
  </cols>
  <sheetData>
    <row r="1" spans="1:9">
      <c r="A1" t="s">
        <v>70</v>
      </c>
    </row>
    <row r="2" spans="1:9">
      <c r="B2" t="s">
        <v>71</v>
      </c>
      <c r="C2" t="s">
        <v>72</v>
      </c>
      <c r="D2" t="s">
        <v>73</v>
      </c>
      <c r="E2" t="s">
        <v>74</v>
      </c>
      <c r="H2" t="s">
        <v>75</v>
      </c>
      <c r="I2" t="s">
        <v>76</v>
      </c>
    </row>
    <row r="3" spans="1:9">
      <c r="A3">
        <v>1</v>
      </c>
      <c r="B3">
        <v>3</v>
      </c>
      <c r="C3">
        <v>0</v>
      </c>
      <c r="D3">
        <v>0</v>
      </c>
      <c r="E3">
        <v>4</v>
      </c>
      <c r="H3" t="s">
        <v>71</v>
      </c>
      <c r="I3">
        <v>700</v>
      </c>
    </row>
    <row r="4" spans="1:9">
      <c r="A4">
        <v>2</v>
      </c>
      <c r="B4">
        <v>2</v>
      </c>
      <c r="C4">
        <v>1</v>
      </c>
      <c r="D4">
        <v>0</v>
      </c>
      <c r="E4">
        <v>2</v>
      </c>
      <c r="H4" t="s">
        <v>72</v>
      </c>
      <c r="I4" s="38">
        <v>1200</v>
      </c>
    </row>
    <row r="5" spans="1:9">
      <c r="A5">
        <v>3</v>
      </c>
      <c r="B5">
        <v>2</v>
      </c>
      <c r="C5">
        <v>0</v>
      </c>
      <c r="D5">
        <v>1</v>
      </c>
      <c r="E5">
        <v>1</v>
      </c>
      <c r="H5" t="s">
        <v>73</v>
      </c>
      <c r="I5">
        <v>300</v>
      </c>
    </row>
    <row r="6" spans="1:9">
      <c r="A6">
        <v>4</v>
      </c>
      <c r="B6">
        <v>1</v>
      </c>
      <c r="C6">
        <v>2</v>
      </c>
      <c r="D6">
        <v>0</v>
      </c>
      <c r="E6">
        <v>0</v>
      </c>
    </row>
    <row r="7" spans="1:9">
      <c r="A7">
        <v>5</v>
      </c>
      <c r="B7">
        <v>0</v>
      </c>
      <c r="C7">
        <v>1</v>
      </c>
      <c r="D7">
        <v>1</v>
      </c>
      <c r="E7">
        <v>6</v>
      </c>
    </row>
    <row r="8" spans="1:9">
      <c r="A8">
        <v>6</v>
      </c>
      <c r="B8">
        <v>0</v>
      </c>
      <c r="C8">
        <v>0</v>
      </c>
      <c r="D8">
        <v>2</v>
      </c>
      <c r="E8">
        <v>5</v>
      </c>
    </row>
    <row r="10" spans="1:9">
      <c r="H10" s="39" t="s">
        <v>77</v>
      </c>
    </row>
    <row r="11" spans="1:9">
      <c r="H11" s="3">
        <f>SUM(B13:B18)</f>
        <v>775</v>
      </c>
    </row>
    <row r="12" spans="1:9">
      <c r="A12" s="2" t="s">
        <v>78</v>
      </c>
      <c r="B12" s="1"/>
    </row>
    <row r="13" spans="1:9">
      <c r="A13" s="1" t="s">
        <v>79</v>
      </c>
      <c r="B13" s="40">
        <v>0</v>
      </c>
    </row>
    <row r="14" spans="1:9">
      <c r="A14" s="1" t="s">
        <v>80</v>
      </c>
      <c r="B14" s="40">
        <v>0</v>
      </c>
      <c r="G14" s="2" t="s">
        <v>16</v>
      </c>
      <c r="H14" s="1"/>
      <c r="I14" s="1"/>
    </row>
    <row r="15" spans="1:9">
      <c r="A15" s="1" t="s">
        <v>81</v>
      </c>
      <c r="B15" s="40">
        <v>49.999999999999972</v>
      </c>
      <c r="G15" s="1">
        <f>SUMPRODUCT(B3:B8,B13:B18)</f>
        <v>700</v>
      </c>
      <c r="H15" s="1" t="s">
        <v>17</v>
      </c>
      <c r="I15" s="1">
        <f>I3</f>
        <v>700</v>
      </c>
    </row>
    <row r="16" spans="1:9">
      <c r="A16" s="1" t="s">
        <v>82</v>
      </c>
      <c r="B16" s="40">
        <v>600</v>
      </c>
      <c r="G16" s="1">
        <f>SUMPRODUCT(C3:C8,B13:B18)</f>
        <v>1200</v>
      </c>
      <c r="H16" s="1" t="s">
        <v>17</v>
      </c>
      <c r="I16" s="41">
        <f>I4</f>
        <v>1200</v>
      </c>
    </row>
    <row r="17" spans="1:9">
      <c r="A17" s="1" t="s">
        <v>83</v>
      </c>
      <c r="B17" s="40">
        <v>0</v>
      </c>
      <c r="G17" s="1">
        <f>SUMPRODUCT(D3:D8,B13:B18)</f>
        <v>300</v>
      </c>
      <c r="H17" s="1" t="s">
        <v>17</v>
      </c>
      <c r="I17" s="1">
        <f>I5</f>
        <v>300</v>
      </c>
    </row>
    <row r="18" spans="1:9">
      <c r="A18" s="1" t="s">
        <v>84</v>
      </c>
      <c r="B18" s="40">
        <v>125.00000000000001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F5E4F-5F2D-4B13-AB22-A1EBA7AA2EE2}">
  <dimension ref="A1:J20"/>
  <sheetViews>
    <sheetView workbookViewId="0">
      <selection activeCell="G10" sqref="G10"/>
    </sheetView>
  </sheetViews>
  <sheetFormatPr baseColWidth="10" defaultColWidth="8.83203125" defaultRowHeight="15"/>
  <cols>
    <col min="1" max="1" width="12.6640625" customWidth="1"/>
    <col min="2" max="2" width="13.33203125" customWidth="1"/>
    <col min="7" max="7" width="8.5" bestFit="1" customWidth="1"/>
    <col min="10" max="10" width="33.83203125" customWidth="1"/>
  </cols>
  <sheetData>
    <row r="1" spans="1:9">
      <c r="A1" t="s">
        <v>70</v>
      </c>
    </row>
    <row r="2" spans="1:9">
      <c r="B2" t="s">
        <v>71</v>
      </c>
      <c r="C2" t="s">
        <v>72</v>
      </c>
      <c r="D2" t="s">
        <v>73</v>
      </c>
      <c r="E2" t="s">
        <v>74</v>
      </c>
      <c r="H2" t="s">
        <v>75</v>
      </c>
      <c r="I2" t="s">
        <v>76</v>
      </c>
    </row>
    <row r="3" spans="1:9">
      <c r="A3">
        <v>1</v>
      </c>
      <c r="B3">
        <v>3</v>
      </c>
      <c r="C3">
        <v>0</v>
      </c>
      <c r="D3">
        <v>0</v>
      </c>
      <c r="E3">
        <v>4</v>
      </c>
      <c r="H3" t="s">
        <v>71</v>
      </c>
      <c r="I3">
        <v>700</v>
      </c>
    </row>
    <row r="4" spans="1:9">
      <c r="A4">
        <v>2</v>
      </c>
      <c r="B4">
        <v>2</v>
      </c>
      <c r="C4">
        <v>1</v>
      </c>
      <c r="D4">
        <v>0</v>
      </c>
      <c r="E4">
        <v>2</v>
      </c>
      <c r="H4" t="s">
        <v>72</v>
      </c>
      <c r="I4" s="38">
        <v>1200</v>
      </c>
    </row>
    <row r="5" spans="1:9">
      <c r="A5">
        <v>3</v>
      </c>
      <c r="B5">
        <v>2</v>
      </c>
      <c r="C5">
        <v>0</v>
      </c>
      <c r="D5">
        <v>1</v>
      </c>
      <c r="E5">
        <v>1</v>
      </c>
      <c r="H5" t="s">
        <v>73</v>
      </c>
      <c r="I5">
        <v>300</v>
      </c>
    </row>
    <row r="6" spans="1:9">
      <c r="A6">
        <v>4</v>
      </c>
      <c r="B6">
        <v>1</v>
      </c>
      <c r="C6">
        <v>2</v>
      </c>
      <c r="D6">
        <v>0</v>
      </c>
      <c r="E6">
        <v>0</v>
      </c>
    </row>
    <row r="7" spans="1:9">
      <c r="A7">
        <v>5</v>
      </c>
      <c r="B7">
        <v>0</v>
      </c>
      <c r="C7">
        <v>1</v>
      </c>
      <c r="D7">
        <v>1</v>
      </c>
      <c r="E7">
        <v>6</v>
      </c>
    </row>
    <row r="8" spans="1:9">
      <c r="A8">
        <v>6</v>
      </c>
      <c r="B8">
        <v>0</v>
      </c>
      <c r="C8">
        <v>0</v>
      </c>
      <c r="D8">
        <v>2</v>
      </c>
      <c r="E8">
        <v>5</v>
      </c>
    </row>
    <row r="9" spans="1:9">
      <c r="G9" s="39" t="s">
        <v>77</v>
      </c>
    </row>
    <row r="10" spans="1:9">
      <c r="G10" s="3">
        <f>SUMPRODUCT(E3:E8,B13:B18)</f>
        <v>300</v>
      </c>
    </row>
    <row r="12" spans="1:9">
      <c r="A12" s="2" t="s">
        <v>78</v>
      </c>
      <c r="B12" s="1"/>
    </row>
    <row r="13" spans="1:9">
      <c r="A13" s="1" t="s">
        <v>79</v>
      </c>
      <c r="B13" s="40">
        <v>0</v>
      </c>
      <c r="F13" s="2" t="s">
        <v>16</v>
      </c>
      <c r="G13" s="1"/>
      <c r="H13" s="1"/>
    </row>
    <row r="14" spans="1:9">
      <c r="A14" s="1" t="s">
        <v>80</v>
      </c>
      <c r="B14" s="40">
        <v>0</v>
      </c>
      <c r="F14" s="1">
        <f>SUMPRODUCT(B3:B8,B13:B18)</f>
        <v>1200</v>
      </c>
      <c r="G14" s="1" t="s">
        <v>18</v>
      </c>
      <c r="H14" s="1">
        <f>I3</f>
        <v>700</v>
      </c>
    </row>
    <row r="15" spans="1:9">
      <c r="A15" s="1" t="s">
        <v>81</v>
      </c>
      <c r="B15" s="40">
        <v>300</v>
      </c>
      <c r="F15" s="1">
        <f>SUMPRODUCT(C3:C8,B13:B18)</f>
        <v>1200</v>
      </c>
      <c r="G15" s="1" t="s">
        <v>18</v>
      </c>
      <c r="H15" s="41">
        <f>I4</f>
        <v>1200</v>
      </c>
    </row>
    <row r="16" spans="1:9">
      <c r="A16" s="1" t="s">
        <v>82</v>
      </c>
      <c r="B16" s="40">
        <v>600</v>
      </c>
      <c r="F16" s="1">
        <f>SUMPRODUCT(D3:D8,B13:B18)</f>
        <v>300</v>
      </c>
      <c r="G16" s="1" t="s">
        <v>18</v>
      </c>
      <c r="H16" s="1">
        <f>I5</f>
        <v>300</v>
      </c>
    </row>
    <row r="17" spans="1:10">
      <c r="A17" s="1" t="s">
        <v>83</v>
      </c>
      <c r="B17" s="40">
        <v>0</v>
      </c>
    </row>
    <row r="18" spans="1:10">
      <c r="A18" s="1" t="s">
        <v>84</v>
      </c>
      <c r="B18" s="40">
        <v>0</v>
      </c>
    </row>
    <row r="19" spans="1:10">
      <c r="J19" s="39" t="s">
        <v>85</v>
      </c>
    </row>
    <row r="20" spans="1:10" ht="104.5" customHeight="1">
      <c r="G20" s="42"/>
      <c r="H20" t="s">
        <v>165</v>
      </c>
      <c r="J20" s="43"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Problem 2</vt:lpstr>
      <vt:lpstr>Problem 3</vt:lpstr>
      <vt:lpstr>Problem 4</vt:lpstr>
      <vt:lpstr>Problem 5</vt:lpstr>
      <vt:lpstr>Currency Arbitrage</vt:lpstr>
      <vt:lpstr>Currency Example</vt:lpstr>
      <vt:lpstr>Arbitrage</vt:lpstr>
      <vt:lpstr>Cutting board 1</vt:lpstr>
      <vt:lpstr>Cutting board 2</vt:lpstr>
      <vt:lpstr>Lease Terms</vt:lpstr>
      <vt:lpstr>Computer Production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bhagwat</dc:creator>
  <cp:lastModifiedBy>Microsoft Office User</cp:lastModifiedBy>
  <dcterms:created xsi:type="dcterms:W3CDTF">2019-10-25T00:11:22Z</dcterms:created>
  <dcterms:modified xsi:type="dcterms:W3CDTF">2019-10-31T19:25:43Z</dcterms:modified>
</cp:coreProperties>
</file>