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0" windowWidth="19140" windowHeight="7340" activeTab="2"/>
  </bookViews>
  <sheets>
    <sheet name="MP7" sheetId="1" r:id="rId1"/>
    <sheet name="MP8" sheetId="2" r:id="rId2"/>
    <sheet name="MP9" sheetId="3" r:id="rId3"/>
  </sheets>
  <calcPr calcId="145621"/>
</workbook>
</file>

<file path=xl/calcChain.xml><?xml version="1.0" encoding="utf-8"?>
<calcChain xmlns="http://schemas.openxmlformats.org/spreadsheetml/2006/main">
  <c r="M30" i="3" l="1"/>
  <c r="L30" i="3"/>
  <c r="K30" i="3"/>
  <c r="J30" i="3"/>
  <c r="I30" i="3"/>
  <c r="H30" i="3"/>
  <c r="G30" i="3"/>
  <c r="F30" i="3"/>
  <c r="E30" i="3"/>
  <c r="D30" i="3"/>
  <c r="M29" i="3"/>
  <c r="L29" i="3"/>
  <c r="K29" i="3"/>
  <c r="J29" i="3"/>
  <c r="I29" i="3"/>
  <c r="H29" i="3"/>
  <c r="G29" i="3"/>
  <c r="F29" i="3"/>
  <c r="E29" i="3"/>
  <c r="D29" i="3"/>
  <c r="M28" i="3"/>
  <c r="L28" i="3"/>
  <c r="K28" i="3"/>
  <c r="J28" i="3"/>
  <c r="I28" i="3"/>
  <c r="H28" i="3"/>
  <c r="G28" i="3"/>
  <c r="F28" i="3"/>
  <c r="E28" i="3"/>
  <c r="D28" i="3"/>
  <c r="M27" i="3"/>
  <c r="L27" i="3"/>
  <c r="K27" i="3"/>
  <c r="J27" i="3"/>
  <c r="I27" i="3"/>
  <c r="H27" i="3"/>
  <c r="G27" i="3"/>
  <c r="F27" i="3"/>
  <c r="E27" i="3"/>
  <c r="D27" i="3"/>
  <c r="M24" i="3"/>
  <c r="L24" i="3"/>
  <c r="K24" i="3"/>
  <c r="J24" i="3"/>
  <c r="I24" i="3"/>
  <c r="H24" i="3"/>
  <c r="G24" i="3"/>
  <c r="F24" i="3"/>
  <c r="E24" i="3"/>
  <c r="D24" i="3"/>
  <c r="M23" i="3"/>
  <c r="L23" i="3"/>
  <c r="N23" i="3" s="1"/>
  <c r="K23" i="3"/>
  <c r="J23" i="3"/>
  <c r="I23" i="3"/>
  <c r="H23" i="3"/>
  <c r="G23" i="3"/>
  <c r="F23" i="3"/>
  <c r="E23" i="3"/>
  <c r="D23" i="3"/>
  <c r="M22" i="3"/>
  <c r="L22" i="3"/>
  <c r="K22" i="3"/>
  <c r="J22" i="3"/>
  <c r="I22" i="3"/>
  <c r="H22" i="3"/>
  <c r="G22" i="3"/>
  <c r="F22" i="3"/>
  <c r="E22" i="3"/>
  <c r="D22" i="3"/>
  <c r="M21" i="3"/>
  <c r="L21" i="3"/>
  <c r="K21" i="3"/>
  <c r="J21" i="3"/>
  <c r="I21" i="3"/>
  <c r="H21" i="3"/>
  <c r="G21" i="3"/>
  <c r="F21" i="3"/>
  <c r="E21" i="3"/>
  <c r="D21" i="3"/>
  <c r="M18" i="3"/>
  <c r="L18" i="3"/>
  <c r="K18" i="3"/>
  <c r="J18" i="3"/>
  <c r="I18" i="3"/>
  <c r="H18" i="3"/>
  <c r="G18" i="3"/>
  <c r="F18" i="3"/>
  <c r="E18" i="3"/>
  <c r="M17" i="3"/>
  <c r="L17" i="3"/>
  <c r="K17" i="3"/>
  <c r="J17" i="3"/>
  <c r="I17" i="3"/>
  <c r="H17" i="3"/>
  <c r="G17" i="3"/>
  <c r="F17" i="3"/>
  <c r="E17" i="3"/>
  <c r="D17" i="3"/>
  <c r="M16" i="3"/>
  <c r="L16" i="3"/>
  <c r="K16" i="3"/>
  <c r="J16" i="3"/>
  <c r="I16" i="3"/>
  <c r="N16" i="3" s="1"/>
  <c r="H16" i="3"/>
  <c r="G16" i="3"/>
  <c r="F16" i="3"/>
  <c r="E16" i="3"/>
  <c r="D16" i="3"/>
  <c r="M15" i="3"/>
  <c r="L15" i="3"/>
  <c r="K15" i="3"/>
  <c r="J15" i="3"/>
  <c r="I15" i="3"/>
  <c r="H15" i="3"/>
  <c r="G15" i="3"/>
  <c r="F15" i="3"/>
  <c r="E15" i="3"/>
  <c r="D15" i="3"/>
  <c r="M12" i="3"/>
  <c r="L12" i="3"/>
  <c r="K12" i="3"/>
  <c r="J12" i="3"/>
  <c r="I12" i="3"/>
  <c r="H12" i="3"/>
  <c r="G12" i="3"/>
  <c r="F12" i="3"/>
  <c r="E12" i="3"/>
  <c r="D12" i="3"/>
  <c r="M11" i="3"/>
  <c r="L11" i="3"/>
  <c r="K11" i="3"/>
  <c r="J11" i="3"/>
  <c r="I11" i="3"/>
  <c r="H11" i="3"/>
  <c r="G11" i="3"/>
  <c r="F11" i="3"/>
  <c r="E11" i="3"/>
  <c r="D11" i="3"/>
  <c r="M10" i="3"/>
  <c r="L10" i="3"/>
  <c r="K10" i="3"/>
  <c r="J10" i="3"/>
  <c r="I10" i="3"/>
  <c r="H10" i="3"/>
  <c r="G10" i="3"/>
  <c r="F10" i="3"/>
  <c r="E10" i="3"/>
  <c r="D10" i="3"/>
  <c r="M9" i="3"/>
  <c r="L9" i="3"/>
  <c r="N9" i="3" s="1"/>
  <c r="K9" i="3"/>
  <c r="J9" i="3"/>
  <c r="I9" i="3"/>
  <c r="H9" i="3"/>
  <c r="G9" i="3"/>
  <c r="F9" i="3"/>
  <c r="E9" i="3"/>
  <c r="D9" i="3"/>
  <c r="M37" i="3"/>
  <c r="L37" i="3"/>
  <c r="K37" i="3"/>
  <c r="J37" i="3"/>
  <c r="I37" i="3"/>
  <c r="H37" i="3"/>
  <c r="G37" i="3"/>
  <c r="F37" i="3"/>
  <c r="E37" i="3"/>
  <c r="D37" i="3"/>
  <c r="M42" i="3"/>
  <c r="L42" i="3"/>
  <c r="K42" i="3"/>
  <c r="J42" i="3"/>
  <c r="I42" i="3"/>
  <c r="H42" i="3"/>
  <c r="G42" i="3"/>
  <c r="F42" i="3"/>
  <c r="E42" i="3"/>
  <c r="D42" i="3"/>
  <c r="M40" i="3"/>
  <c r="L40" i="3"/>
  <c r="K40" i="3"/>
  <c r="J40" i="3"/>
  <c r="I40" i="3"/>
  <c r="H40" i="3"/>
  <c r="G40" i="3"/>
  <c r="F40" i="3"/>
  <c r="E40" i="3"/>
  <c r="D40" i="3"/>
  <c r="M39" i="3"/>
  <c r="L39" i="3"/>
  <c r="K39" i="3"/>
  <c r="J39" i="3"/>
  <c r="I39" i="3"/>
  <c r="H39" i="3"/>
  <c r="G39" i="3"/>
  <c r="F39" i="3"/>
  <c r="E39" i="3"/>
  <c r="D39" i="3"/>
  <c r="M44" i="3"/>
  <c r="L44" i="3"/>
  <c r="K44" i="3"/>
  <c r="J44" i="3"/>
  <c r="I44" i="3"/>
  <c r="H44" i="3"/>
  <c r="G44" i="3"/>
  <c r="F44" i="3"/>
  <c r="E44" i="3"/>
  <c r="D44" i="3"/>
  <c r="M32" i="3"/>
  <c r="L32" i="3"/>
  <c r="K32" i="3"/>
  <c r="J32" i="3"/>
  <c r="I32" i="3"/>
  <c r="H32" i="3"/>
  <c r="G32" i="3"/>
  <c r="F32" i="3"/>
  <c r="E32" i="3"/>
  <c r="D32" i="3"/>
  <c r="M26" i="3"/>
  <c r="L26" i="3"/>
  <c r="K26" i="3"/>
  <c r="J26" i="3"/>
  <c r="I26" i="3"/>
  <c r="H26" i="3"/>
  <c r="G26" i="3"/>
  <c r="F26" i="3"/>
  <c r="E26" i="3"/>
  <c r="D26" i="3"/>
  <c r="K20" i="3"/>
  <c r="J20" i="3"/>
  <c r="I20" i="3"/>
  <c r="H20" i="3"/>
  <c r="G20" i="3"/>
  <c r="F20" i="3"/>
  <c r="E20" i="3"/>
  <c r="D20" i="3"/>
  <c r="M14" i="3"/>
  <c r="L14" i="3"/>
  <c r="K14" i="3"/>
  <c r="J14" i="3"/>
  <c r="I14" i="3"/>
  <c r="H14" i="3"/>
  <c r="G14" i="3"/>
  <c r="F14" i="3"/>
  <c r="E14" i="3"/>
  <c r="D14" i="3"/>
  <c r="M8" i="3"/>
  <c r="L8" i="3"/>
  <c r="K8" i="3"/>
  <c r="J8" i="3"/>
  <c r="I8" i="3"/>
  <c r="H8" i="3"/>
  <c r="G8" i="3"/>
  <c r="F8" i="3"/>
  <c r="E8" i="3"/>
  <c r="D8" i="3"/>
  <c r="N44" i="3"/>
  <c r="N42" i="3"/>
  <c r="N32" i="3"/>
  <c r="N27" i="3"/>
  <c r="N28" i="3"/>
  <c r="N29" i="3"/>
  <c r="N30" i="3"/>
  <c r="N26" i="3"/>
  <c r="N21" i="3"/>
  <c r="N24" i="3"/>
  <c r="N20" i="3"/>
  <c r="N17" i="3"/>
  <c r="N18" i="3"/>
  <c r="N14" i="3"/>
  <c r="N10" i="3"/>
  <c r="N11" i="3"/>
  <c r="N12" i="3"/>
  <c r="N8" i="3"/>
  <c r="N4" i="3"/>
  <c r="N5" i="3"/>
  <c r="N6" i="3"/>
  <c r="N3" i="3"/>
  <c r="M6" i="3"/>
  <c r="L6" i="3"/>
  <c r="K6" i="3"/>
  <c r="J6" i="3"/>
  <c r="I6" i="3"/>
  <c r="H6" i="3"/>
  <c r="G6" i="3"/>
  <c r="F6" i="3"/>
  <c r="E6" i="3"/>
  <c r="D6" i="3"/>
  <c r="M5" i="3"/>
  <c r="L5" i="3"/>
  <c r="K5" i="3"/>
  <c r="J5" i="3"/>
  <c r="I5" i="3"/>
  <c r="H5" i="3"/>
  <c r="G5" i="3"/>
  <c r="F5" i="3"/>
  <c r="E5" i="3"/>
  <c r="D5" i="3"/>
  <c r="M4" i="3"/>
  <c r="L4" i="3"/>
  <c r="K4" i="3"/>
  <c r="J4" i="3"/>
  <c r="I4" i="3"/>
  <c r="H4" i="3"/>
  <c r="G4" i="3"/>
  <c r="F4" i="3"/>
  <c r="E4" i="3"/>
  <c r="D4" i="3"/>
  <c r="M3" i="3"/>
  <c r="L3" i="3"/>
  <c r="K3" i="3"/>
  <c r="J3" i="3"/>
  <c r="I3" i="3"/>
  <c r="H3" i="3"/>
  <c r="G3" i="3"/>
  <c r="F3" i="3"/>
  <c r="E3" i="3"/>
  <c r="D3" i="3"/>
  <c r="N22" i="3" l="1"/>
  <c r="N15" i="3"/>
  <c r="N37" i="3"/>
  <c r="N40" i="3"/>
  <c r="N39" i="3"/>
  <c r="M46" i="2" l="1"/>
  <c r="M19" i="2"/>
  <c r="M14" i="2"/>
  <c r="M41" i="2"/>
  <c r="M6" i="2"/>
  <c r="M7" i="2"/>
  <c r="M8" i="2"/>
  <c r="M10" i="2"/>
  <c r="M11" i="2"/>
  <c r="M12" i="2"/>
  <c r="M13" i="2"/>
  <c r="M16" i="2"/>
  <c r="M17" i="2"/>
  <c r="M18" i="2"/>
  <c r="M20" i="2"/>
  <c r="M22" i="2"/>
  <c r="M23" i="2"/>
  <c r="M24" i="2"/>
  <c r="M25" i="2"/>
  <c r="M26" i="2"/>
  <c r="M28" i="2"/>
  <c r="M29" i="2"/>
  <c r="M30" i="2"/>
  <c r="M31" i="2"/>
  <c r="M32" i="2"/>
  <c r="M34" i="2"/>
  <c r="M39" i="2"/>
  <c r="M42" i="2"/>
  <c r="M44" i="2"/>
  <c r="M5" i="2"/>
  <c r="Q10" i="1"/>
  <c r="Q11" i="1"/>
  <c r="Q12" i="1"/>
  <c r="Q13" i="1"/>
  <c r="Q14" i="1"/>
  <c r="Q15" i="1"/>
  <c r="Q9" i="1"/>
</calcChain>
</file>

<file path=xl/sharedStrings.xml><?xml version="1.0" encoding="utf-8"?>
<sst xmlns="http://schemas.openxmlformats.org/spreadsheetml/2006/main" count="188" uniqueCount="47">
  <si>
    <t>SHITOMASI</t>
  </si>
  <si>
    <t>HARRIS</t>
  </si>
  <si>
    <t>FAST</t>
  </si>
  <si>
    <t>BRISK</t>
  </si>
  <si>
    <t>ORB</t>
  </si>
  <si>
    <t>AKAZE</t>
  </si>
  <si>
    <t>SIFT</t>
  </si>
  <si>
    <t>Img 1</t>
  </si>
  <si>
    <t>Img 0</t>
  </si>
  <si>
    <t>Img 2</t>
  </si>
  <si>
    <t>Img 3</t>
  </si>
  <si>
    <t>Img 4</t>
  </si>
  <si>
    <t>Img 5</t>
  </si>
  <si>
    <t>Img 6</t>
  </si>
  <si>
    <t>Img 7</t>
  </si>
  <si>
    <t>Img 8</t>
  </si>
  <si>
    <t>Img 9</t>
  </si>
  <si>
    <t>Mean</t>
  </si>
  <si>
    <t>Low</t>
  </si>
  <si>
    <t>Extremely Low</t>
  </si>
  <si>
    <t>Neighborhood</t>
  </si>
  <si>
    <t>Density</t>
  </si>
  <si>
    <t>Negligible</t>
  </si>
  <si>
    <t>Medium</t>
  </si>
  <si>
    <t>High</t>
  </si>
  <si>
    <t>Extremely High</t>
  </si>
  <si>
    <t>Overlapping</t>
  </si>
  <si>
    <t>BRIEF</t>
  </si>
  <si>
    <t>FREAK</t>
  </si>
  <si>
    <t>Descriptor</t>
  </si>
  <si>
    <t>Detector</t>
  </si>
  <si>
    <t>Img 0 - 1</t>
  </si>
  <si>
    <t>Img 1 - 2</t>
  </si>
  <si>
    <t>Img 2 - 3</t>
  </si>
  <si>
    <t>Img 3 - 4</t>
  </si>
  <si>
    <t>Img 4 - 5</t>
  </si>
  <si>
    <t>Img 5 - 6</t>
  </si>
  <si>
    <t>Img 6 - 7</t>
  </si>
  <si>
    <t>Img 8 - 9</t>
  </si>
  <si>
    <t>Img 7 - 8</t>
  </si>
  <si>
    <t>N/A</t>
  </si>
  <si>
    <t>.943747+32.5839</t>
  </si>
  <si>
    <t>.945469+32.885</t>
  </si>
  <si>
    <t>1.43942+62.9416</t>
  </si>
  <si>
    <t>I</t>
  </si>
  <si>
    <t>II</t>
  </si>
  <si>
    <t>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</si>
</sst>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1" fillId="2" borderId="5" xfId="0" applyFont="1" applyFill="1" applyBorder="1"/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3" borderId="5" xfId="0" applyFont="1" applyFill="1" applyBorder="1"/>
    <xf numFmtId="0" fontId="0" fillId="3" borderId="6" xfId="0" applyFont="1" applyFill="1" applyBorder="1"/>
    <xf numFmtId="0" fontId="0" fillId="3" borderId="7" xfId="0" applyFont="1" applyFill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2" fillId="3" borderId="6" xfId="0" applyFont="1" applyFill="1" applyBorder="1"/>
    <xf numFmtId="0" fontId="2" fillId="0" borderId="6" xfId="0" applyFont="1" applyBorder="1"/>
    <xf numFmtId="0" fontId="2" fillId="3" borderId="2" xfId="0" applyFont="1" applyFill="1" applyBorder="1"/>
    <xf numFmtId="0" fontId="0" fillId="0" borderId="4" xfId="0" applyBorder="1"/>
    <xf numFmtId="0" fontId="0" fillId="0" borderId="4" xfId="0" applyFont="1" applyBorder="1"/>
    <xf numFmtId="0" fontId="0" fillId="3" borderId="4" xfId="0" applyFont="1" applyFill="1" applyBorder="1"/>
    <xf numFmtId="0" fontId="2" fillId="0" borderId="0" xfId="0" applyFont="1"/>
    <xf numFmtId="0" fontId="2" fillId="0" borderId="4" xfId="0" applyFont="1" applyBorder="1" applyAlignment="1">
      <alignment horizontal="center" vertical="center"/>
    </xf>
    <xf numFmtId="0" fontId="0" fillId="5" borderId="4" xfId="0" applyFill="1" applyBorder="1"/>
    <xf numFmtId="0" fontId="2" fillId="5" borderId="4" xfId="0" applyFont="1" applyFill="1" applyBorder="1"/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3" borderId="4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2" fillId="6" borderId="4" xfId="0" applyFont="1" applyFill="1" applyBorder="1"/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7:S15"/>
  <sheetViews>
    <sheetView topLeftCell="C1" workbookViewId="0">
      <selection activeCell="D24" sqref="D24"/>
    </sheetView>
  </sheetViews>
  <sheetFormatPr defaultRowHeight="14.5" x14ac:dyDescent="0.35"/>
  <cols>
    <col min="6" max="6" width="10.26953125" bestFit="1" customWidth="1"/>
    <col min="18" max="18" width="19.6328125" bestFit="1" customWidth="1"/>
    <col min="19" max="19" width="13.36328125" bestFit="1" customWidth="1"/>
  </cols>
  <sheetData>
    <row r="7" spans="6:19" x14ac:dyDescent="0.35">
      <c r="R7" s="24" t="s">
        <v>20</v>
      </c>
      <c r="S7" s="24"/>
    </row>
    <row r="8" spans="6:19" x14ac:dyDescent="0.35">
      <c r="F8" s="4"/>
      <c r="G8" s="5" t="s">
        <v>8</v>
      </c>
      <c r="H8" s="5" t="s">
        <v>7</v>
      </c>
      <c r="I8" s="5" t="s">
        <v>9</v>
      </c>
      <c r="J8" s="5" t="s">
        <v>10</v>
      </c>
      <c r="K8" s="5" t="s">
        <v>11</v>
      </c>
      <c r="L8" s="5" t="s">
        <v>12</v>
      </c>
      <c r="M8" s="5" t="s">
        <v>13</v>
      </c>
      <c r="N8" s="5" t="s">
        <v>14</v>
      </c>
      <c r="O8" s="5" t="s">
        <v>15</v>
      </c>
      <c r="P8" s="5" t="s">
        <v>16</v>
      </c>
      <c r="Q8" s="5" t="s">
        <v>17</v>
      </c>
      <c r="R8" s="5" t="s">
        <v>21</v>
      </c>
      <c r="S8" s="6" t="s">
        <v>26</v>
      </c>
    </row>
    <row r="9" spans="6:19" x14ac:dyDescent="0.35">
      <c r="F9" s="7" t="s">
        <v>0</v>
      </c>
      <c r="G9" s="8">
        <v>125</v>
      </c>
      <c r="H9" s="8">
        <v>118</v>
      </c>
      <c r="I9" s="8">
        <v>123</v>
      </c>
      <c r="J9" s="8">
        <v>120</v>
      </c>
      <c r="K9" s="8">
        <v>120</v>
      </c>
      <c r="L9" s="8">
        <v>113</v>
      </c>
      <c r="M9" s="8">
        <v>114</v>
      </c>
      <c r="N9" s="8">
        <v>123</v>
      </c>
      <c r="O9" s="8">
        <v>111</v>
      </c>
      <c r="P9" s="8">
        <v>112</v>
      </c>
      <c r="Q9" s="13">
        <f>ROUND(AVERAGE(G9:P9), 0)</f>
        <v>118</v>
      </c>
      <c r="R9" s="8" t="s">
        <v>18</v>
      </c>
      <c r="S9" s="9" t="s">
        <v>22</v>
      </c>
    </row>
    <row r="10" spans="6:19" x14ac:dyDescent="0.35">
      <c r="F10" s="10" t="s">
        <v>1</v>
      </c>
      <c r="G10" s="11">
        <v>17</v>
      </c>
      <c r="H10" s="11">
        <v>14</v>
      </c>
      <c r="I10" s="11">
        <v>18</v>
      </c>
      <c r="J10" s="11">
        <v>21</v>
      </c>
      <c r="K10" s="11">
        <v>26</v>
      </c>
      <c r="L10" s="11">
        <v>43</v>
      </c>
      <c r="M10" s="11">
        <v>18</v>
      </c>
      <c r="N10" s="11">
        <v>31</v>
      </c>
      <c r="O10" s="11">
        <v>26</v>
      </c>
      <c r="P10" s="11">
        <v>34</v>
      </c>
      <c r="Q10" s="14">
        <f t="shared" ref="Q10:Q15" si="0">ROUND(AVERAGE(G10:P10), 0)</f>
        <v>25</v>
      </c>
      <c r="R10" s="11" t="s">
        <v>19</v>
      </c>
      <c r="S10" s="12" t="s">
        <v>22</v>
      </c>
    </row>
    <row r="11" spans="6:19" x14ac:dyDescent="0.35">
      <c r="F11" s="7" t="s">
        <v>2</v>
      </c>
      <c r="G11" s="8">
        <v>149</v>
      </c>
      <c r="H11" s="8">
        <v>152</v>
      </c>
      <c r="I11" s="8">
        <v>150</v>
      </c>
      <c r="J11" s="8">
        <v>155</v>
      </c>
      <c r="K11" s="8">
        <v>149</v>
      </c>
      <c r="L11" s="8">
        <v>149</v>
      </c>
      <c r="M11" s="8">
        <v>156</v>
      </c>
      <c r="N11" s="8">
        <v>150</v>
      </c>
      <c r="O11" s="8">
        <v>138</v>
      </c>
      <c r="P11" s="8">
        <v>143</v>
      </c>
      <c r="Q11" s="13">
        <f t="shared" si="0"/>
        <v>149</v>
      </c>
      <c r="R11" s="8" t="s">
        <v>23</v>
      </c>
      <c r="S11" s="9" t="s">
        <v>18</v>
      </c>
    </row>
    <row r="12" spans="6:19" x14ac:dyDescent="0.35">
      <c r="F12" s="10" t="s">
        <v>3</v>
      </c>
      <c r="G12" s="11">
        <v>264</v>
      </c>
      <c r="H12" s="11">
        <v>282</v>
      </c>
      <c r="I12" s="11">
        <v>282</v>
      </c>
      <c r="J12" s="11">
        <v>277</v>
      </c>
      <c r="K12" s="11">
        <v>297</v>
      </c>
      <c r="L12" s="11">
        <v>279</v>
      </c>
      <c r="M12" s="11">
        <v>289</v>
      </c>
      <c r="N12" s="11">
        <v>272</v>
      </c>
      <c r="O12" s="11">
        <v>266</v>
      </c>
      <c r="P12" s="11">
        <v>254</v>
      </c>
      <c r="Q12" s="14">
        <f t="shared" si="0"/>
        <v>276</v>
      </c>
      <c r="R12" s="11" t="s">
        <v>24</v>
      </c>
      <c r="S12" s="12" t="s">
        <v>24</v>
      </c>
    </row>
    <row r="13" spans="6:19" x14ac:dyDescent="0.35">
      <c r="F13" s="7" t="s">
        <v>4</v>
      </c>
      <c r="G13" s="8">
        <v>92</v>
      </c>
      <c r="H13" s="8">
        <v>102</v>
      </c>
      <c r="I13" s="8">
        <v>106</v>
      </c>
      <c r="J13" s="8">
        <v>113</v>
      </c>
      <c r="K13" s="8">
        <v>109</v>
      </c>
      <c r="L13" s="8">
        <v>125</v>
      </c>
      <c r="M13" s="8">
        <v>130</v>
      </c>
      <c r="N13" s="8">
        <v>129</v>
      </c>
      <c r="O13" s="8">
        <v>127</v>
      </c>
      <c r="P13" s="8">
        <v>128</v>
      </c>
      <c r="Q13" s="13">
        <f t="shared" si="0"/>
        <v>116</v>
      </c>
      <c r="R13" s="8" t="s">
        <v>25</v>
      </c>
      <c r="S13" s="9" t="s">
        <v>25</v>
      </c>
    </row>
    <row r="14" spans="6:19" x14ac:dyDescent="0.35">
      <c r="F14" s="10" t="s">
        <v>5</v>
      </c>
      <c r="G14" s="11">
        <v>166</v>
      </c>
      <c r="H14" s="11">
        <v>157</v>
      </c>
      <c r="I14" s="11">
        <v>161</v>
      </c>
      <c r="J14" s="11">
        <v>155</v>
      </c>
      <c r="K14" s="11">
        <v>163</v>
      </c>
      <c r="L14" s="11">
        <v>164</v>
      </c>
      <c r="M14" s="11">
        <v>173</v>
      </c>
      <c r="N14" s="11">
        <v>175</v>
      </c>
      <c r="O14" s="11">
        <v>177</v>
      </c>
      <c r="P14" s="11">
        <v>179</v>
      </c>
      <c r="Q14" s="14">
        <f t="shared" si="0"/>
        <v>167</v>
      </c>
      <c r="R14" s="11" t="s">
        <v>24</v>
      </c>
      <c r="S14" s="12" t="s">
        <v>24</v>
      </c>
    </row>
    <row r="15" spans="6:19" x14ac:dyDescent="0.35">
      <c r="F15" s="1" t="s">
        <v>6</v>
      </c>
      <c r="G15" s="2">
        <v>138</v>
      </c>
      <c r="H15" s="2">
        <v>132</v>
      </c>
      <c r="I15" s="2">
        <v>124</v>
      </c>
      <c r="J15" s="2">
        <v>137</v>
      </c>
      <c r="K15" s="2">
        <v>134</v>
      </c>
      <c r="L15" s="2">
        <v>140</v>
      </c>
      <c r="M15" s="2">
        <v>137</v>
      </c>
      <c r="N15" s="2">
        <v>148</v>
      </c>
      <c r="O15" s="2">
        <v>159</v>
      </c>
      <c r="P15" s="2">
        <v>137</v>
      </c>
      <c r="Q15" s="15">
        <f t="shared" si="0"/>
        <v>139</v>
      </c>
      <c r="R15" s="2" t="s">
        <v>18</v>
      </c>
      <c r="S15" s="3" t="s">
        <v>18</v>
      </c>
    </row>
  </sheetData>
  <mergeCells count="1">
    <mergeCell ref="R7:S7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47"/>
  <sheetViews>
    <sheetView topLeftCell="A11" zoomScale="90" zoomScaleNormal="90" workbookViewId="0">
      <selection activeCell="O26" sqref="O26"/>
    </sheetView>
  </sheetViews>
  <sheetFormatPr defaultRowHeight="14.5" x14ac:dyDescent="0.35"/>
  <cols>
    <col min="1" max="1" width="10.26953125" bestFit="1" customWidth="1"/>
    <col min="2" max="2" width="11.81640625" customWidth="1"/>
    <col min="3" max="3" width="11.81640625" bestFit="1" customWidth="1"/>
    <col min="10" max="10" width="10.26953125" bestFit="1" customWidth="1"/>
  </cols>
  <sheetData>
    <row r="4" spans="2:13" x14ac:dyDescent="0.35">
      <c r="B4" s="20" t="s">
        <v>30</v>
      </c>
      <c r="C4" s="20" t="s">
        <v>29</v>
      </c>
      <c r="D4" s="20" t="s">
        <v>31</v>
      </c>
      <c r="E4" s="20" t="s">
        <v>32</v>
      </c>
      <c r="F4" s="20" t="s">
        <v>33</v>
      </c>
      <c r="G4" s="20" t="s">
        <v>34</v>
      </c>
      <c r="H4" s="20" t="s">
        <v>35</v>
      </c>
      <c r="I4" s="20" t="s">
        <v>36</v>
      </c>
      <c r="J4" s="20" t="s">
        <v>37</v>
      </c>
      <c r="K4" s="20" t="s">
        <v>39</v>
      </c>
      <c r="L4" s="20" t="s">
        <v>38</v>
      </c>
      <c r="M4" s="20" t="s">
        <v>17</v>
      </c>
    </row>
    <row r="5" spans="2:13" x14ac:dyDescent="0.35">
      <c r="B5" s="25" t="s">
        <v>0</v>
      </c>
      <c r="C5" s="17" t="s">
        <v>3</v>
      </c>
      <c r="D5" s="21">
        <v>95</v>
      </c>
      <c r="E5" s="21">
        <v>88</v>
      </c>
      <c r="F5" s="21">
        <v>80</v>
      </c>
      <c r="G5" s="21">
        <v>90</v>
      </c>
      <c r="H5" s="21">
        <v>82</v>
      </c>
      <c r="I5" s="21">
        <v>79</v>
      </c>
      <c r="J5" s="21">
        <v>85</v>
      </c>
      <c r="K5" s="21">
        <v>86</v>
      </c>
      <c r="L5" s="21">
        <v>82</v>
      </c>
      <c r="M5" s="22">
        <f>ROUND(AVERAGE(D5:L5),0)</f>
        <v>85</v>
      </c>
    </row>
    <row r="6" spans="2:13" x14ac:dyDescent="0.35">
      <c r="B6" s="25"/>
      <c r="C6" s="18" t="s">
        <v>27</v>
      </c>
      <c r="D6" s="21">
        <v>115</v>
      </c>
      <c r="E6" s="21">
        <v>111</v>
      </c>
      <c r="F6" s="21">
        <v>104</v>
      </c>
      <c r="G6" s="21">
        <v>101</v>
      </c>
      <c r="H6" s="21">
        <v>102</v>
      </c>
      <c r="I6" s="21">
        <v>102</v>
      </c>
      <c r="J6" s="21">
        <v>100</v>
      </c>
      <c r="K6" s="21">
        <v>109</v>
      </c>
      <c r="L6" s="21">
        <v>100</v>
      </c>
      <c r="M6" s="22">
        <f t="shared" ref="M6:M46" si="0">ROUND(AVERAGE(D6:L6),0)</f>
        <v>105</v>
      </c>
    </row>
    <row r="7" spans="2:13" x14ac:dyDescent="0.35">
      <c r="B7" s="25"/>
      <c r="C7" s="17" t="s">
        <v>4</v>
      </c>
      <c r="D7" s="21">
        <v>106</v>
      </c>
      <c r="E7" s="21">
        <v>102</v>
      </c>
      <c r="F7" s="21">
        <v>99</v>
      </c>
      <c r="G7" s="21">
        <v>102</v>
      </c>
      <c r="H7" s="21">
        <v>103</v>
      </c>
      <c r="I7" s="21">
        <v>97</v>
      </c>
      <c r="J7" s="21">
        <v>98</v>
      </c>
      <c r="K7" s="21">
        <v>104</v>
      </c>
      <c r="L7" s="21">
        <v>97</v>
      </c>
      <c r="M7" s="22">
        <f>ROUND(AVERAGE(D7:L7),0)</f>
        <v>101</v>
      </c>
    </row>
    <row r="8" spans="2:13" x14ac:dyDescent="0.35">
      <c r="B8" s="25"/>
      <c r="C8" s="18" t="s">
        <v>28</v>
      </c>
      <c r="D8" s="21">
        <v>86</v>
      </c>
      <c r="E8" s="21">
        <v>90</v>
      </c>
      <c r="F8" s="21">
        <v>86</v>
      </c>
      <c r="G8" s="21">
        <v>88</v>
      </c>
      <c r="H8" s="21">
        <v>86</v>
      </c>
      <c r="I8" s="21">
        <v>80</v>
      </c>
      <c r="J8" s="21">
        <v>81</v>
      </c>
      <c r="K8" s="21">
        <v>86</v>
      </c>
      <c r="L8" s="21">
        <v>85</v>
      </c>
      <c r="M8" s="22">
        <f>ROUND(AVERAGE(D8:L8),0)</f>
        <v>85</v>
      </c>
    </row>
    <row r="9" spans="2:13" x14ac:dyDescent="0.35">
      <c r="B9" s="25"/>
      <c r="C9" s="17" t="s">
        <v>5</v>
      </c>
      <c r="D9" s="26" t="s">
        <v>40</v>
      </c>
      <c r="E9" s="26"/>
      <c r="F9" s="26"/>
      <c r="G9" s="26"/>
      <c r="H9" s="26"/>
      <c r="I9" s="26"/>
      <c r="J9" s="26"/>
      <c r="K9" s="26"/>
      <c r="L9" s="26"/>
      <c r="M9" s="26"/>
    </row>
    <row r="10" spans="2:13" x14ac:dyDescent="0.35">
      <c r="B10" s="25"/>
      <c r="C10" s="18" t="s">
        <v>6</v>
      </c>
      <c r="D10" s="21">
        <v>112</v>
      </c>
      <c r="E10" s="21">
        <v>109</v>
      </c>
      <c r="F10" s="21">
        <v>104</v>
      </c>
      <c r="G10" s="21">
        <v>103</v>
      </c>
      <c r="H10" s="21">
        <v>99</v>
      </c>
      <c r="I10" s="21">
        <v>101</v>
      </c>
      <c r="J10" s="21">
        <v>96</v>
      </c>
      <c r="K10" s="21">
        <v>106</v>
      </c>
      <c r="L10" s="21">
        <v>97</v>
      </c>
      <c r="M10" s="22">
        <f t="shared" si="0"/>
        <v>103</v>
      </c>
    </row>
    <row r="11" spans="2:13" x14ac:dyDescent="0.35">
      <c r="B11" s="27" t="s">
        <v>1</v>
      </c>
      <c r="C11" s="17" t="s">
        <v>3</v>
      </c>
      <c r="D11" s="16">
        <v>12</v>
      </c>
      <c r="E11" s="16">
        <v>10</v>
      </c>
      <c r="F11" s="16">
        <v>14</v>
      </c>
      <c r="G11" s="16">
        <v>15</v>
      </c>
      <c r="H11" s="16">
        <v>16</v>
      </c>
      <c r="I11" s="16">
        <v>16</v>
      </c>
      <c r="J11" s="16">
        <v>15</v>
      </c>
      <c r="K11" s="16">
        <v>23</v>
      </c>
      <c r="L11" s="16">
        <v>21</v>
      </c>
      <c r="M11" s="23">
        <f t="shared" si="0"/>
        <v>16</v>
      </c>
    </row>
    <row r="12" spans="2:13" x14ac:dyDescent="0.35">
      <c r="B12" s="27"/>
      <c r="C12" s="18" t="s">
        <v>27</v>
      </c>
      <c r="D12" s="16">
        <v>14</v>
      </c>
      <c r="E12" s="16">
        <v>11</v>
      </c>
      <c r="F12" s="16">
        <v>15</v>
      </c>
      <c r="G12" s="16">
        <v>20</v>
      </c>
      <c r="H12" s="16">
        <v>24</v>
      </c>
      <c r="I12" s="16">
        <v>26</v>
      </c>
      <c r="J12" s="16">
        <v>16</v>
      </c>
      <c r="K12" s="16">
        <v>24</v>
      </c>
      <c r="L12" s="16">
        <v>23</v>
      </c>
      <c r="M12" s="23">
        <f t="shared" si="0"/>
        <v>19</v>
      </c>
    </row>
    <row r="13" spans="2:13" x14ac:dyDescent="0.35">
      <c r="B13" s="27"/>
      <c r="C13" s="17" t="s">
        <v>4</v>
      </c>
      <c r="D13" s="16">
        <v>12</v>
      </c>
      <c r="E13" s="16">
        <v>12</v>
      </c>
      <c r="F13" s="16">
        <v>15</v>
      </c>
      <c r="G13" s="16">
        <v>18</v>
      </c>
      <c r="H13" s="16">
        <v>24</v>
      </c>
      <c r="I13" s="16">
        <v>20</v>
      </c>
      <c r="J13" s="16">
        <v>15</v>
      </c>
      <c r="K13" s="16">
        <v>24</v>
      </c>
      <c r="L13" s="16">
        <v>22</v>
      </c>
      <c r="M13" s="23">
        <f t="shared" si="0"/>
        <v>18</v>
      </c>
    </row>
    <row r="14" spans="2:13" x14ac:dyDescent="0.35">
      <c r="B14" s="27"/>
      <c r="C14" s="18" t="s">
        <v>28</v>
      </c>
      <c r="D14" s="16">
        <v>13</v>
      </c>
      <c r="E14" s="16">
        <v>13</v>
      </c>
      <c r="F14" s="16">
        <v>15</v>
      </c>
      <c r="G14" s="16">
        <v>15</v>
      </c>
      <c r="H14" s="16">
        <v>17</v>
      </c>
      <c r="I14" s="16">
        <v>20</v>
      </c>
      <c r="J14" s="16">
        <v>12</v>
      </c>
      <c r="K14" s="16">
        <v>21</v>
      </c>
      <c r="L14" s="16">
        <v>18</v>
      </c>
      <c r="M14" s="23">
        <f>ROUND(AVERAGE(D14:L14),0)</f>
        <v>16</v>
      </c>
    </row>
    <row r="15" spans="2:13" x14ac:dyDescent="0.35">
      <c r="B15" s="27"/>
      <c r="C15" s="17" t="s">
        <v>5</v>
      </c>
      <c r="D15" s="26" t="s">
        <v>40</v>
      </c>
      <c r="E15" s="26"/>
      <c r="F15" s="26"/>
      <c r="G15" s="26"/>
      <c r="H15" s="26"/>
      <c r="I15" s="26"/>
      <c r="J15" s="26"/>
      <c r="K15" s="26"/>
      <c r="L15" s="26"/>
      <c r="M15" s="26"/>
    </row>
    <row r="16" spans="2:13" x14ac:dyDescent="0.35">
      <c r="B16" s="27"/>
      <c r="C16" s="18" t="s">
        <v>6</v>
      </c>
      <c r="D16" s="16">
        <v>14</v>
      </c>
      <c r="E16" s="16">
        <v>11</v>
      </c>
      <c r="F16" s="16">
        <v>16</v>
      </c>
      <c r="G16" s="16">
        <v>19</v>
      </c>
      <c r="H16" s="16">
        <v>22</v>
      </c>
      <c r="I16" s="16">
        <v>22</v>
      </c>
      <c r="J16" s="16">
        <v>13</v>
      </c>
      <c r="K16" s="16">
        <v>24</v>
      </c>
      <c r="L16" s="16">
        <v>22</v>
      </c>
      <c r="M16" s="23">
        <f>ROUND(AVERAGE(D16:L16),0)</f>
        <v>18</v>
      </c>
    </row>
    <row r="17" spans="2:13" x14ac:dyDescent="0.35">
      <c r="B17" s="25" t="s">
        <v>2</v>
      </c>
      <c r="C17" s="17" t="s">
        <v>3</v>
      </c>
      <c r="D17" s="21">
        <v>97</v>
      </c>
      <c r="E17" s="21">
        <v>104</v>
      </c>
      <c r="F17" s="21">
        <v>101</v>
      </c>
      <c r="G17" s="21">
        <v>98</v>
      </c>
      <c r="H17" s="21">
        <v>85</v>
      </c>
      <c r="I17" s="21">
        <v>107</v>
      </c>
      <c r="J17" s="21">
        <v>107</v>
      </c>
      <c r="K17" s="21">
        <v>100</v>
      </c>
      <c r="L17" s="21">
        <v>100</v>
      </c>
      <c r="M17" s="22">
        <f>ROUND(AVERAGE(D17:L17),0)</f>
        <v>100</v>
      </c>
    </row>
    <row r="18" spans="2:13" x14ac:dyDescent="0.35">
      <c r="B18" s="25"/>
      <c r="C18" s="18" t="s">
        <v>27</v>
      </c>
      <c r="D18" s="21">
        <v>119</v>
      </c>
      <c r="E18" s="21">
        <v>130</v>
      </c>
      <c r="F18" s="21">
        <v>118</v>
      </c>
      <c r="G18" s="21">
        <v>126</v>
      </c>
      <c r="H18" s="21">
        <v>108</v>
      </c>
      <c r="I18" s="21">
        <v>123</v>
      </c>
      <c r="J18" s="21">
        <v>131</v>
      </c>
      <c r="K18" s="21">
        <v>125</v>
      </c>
      <c r="L18" s="21">
        <v>119</v>
      </c>
      <c r="M18" s="22">
        <f t="shared" si="0"/>
        <v>122</v>
      </c>
    </row>
    <row r="19" spans="2:13" x14ac:dyDescent="0.35">
      <c r="B19" s="25"/>
      <c r="C19" s="17" t="s">
        <v>4</v>
      </c>
      <c r="D19" s="21">
        <v>118</v>
      </c>
      <c r="E19" s="21">
        <v>123</v>
      </c>
      <c r="F19" s="21">
        <v>112</v>
      </c>
      <c r="G19" s="21">
        <v>126</v>
      </c>
      <c r="H19" s="21">
        <v>106</v>
      </c>
      <c r="I19" s="21">
        <v>122</v>
      </c>
      <c r="J19" s="21">
        <v>122</v>
      </c>
      <c r="K19" s="21">
        <v>123</v>
      </c>
      <c r="L19" s="21">
        <v>119</v>
      </c>
      <c r="M19" s="22">
        <f>ROUND(AVERAGE(D19:L19),0)</f>
        <v>119</v>
      </c>
    </row>
    <row r="20" spans="2:13" x14ac:dyDescent="0.35">
      <c r="B20" s="25"/>
      <c r="C20" s="18" t="s">
        <v>28</v>
      </c>
      <c r="D20" s="21">
        <v>98</v>
      </c>
      <c r="E20" s="21">
        <v>99</v>
      </c>
      <c r="F20" s="21">
        <v>91</v>
      </c>
      <c r="G20" s="21">
        <v>98</v>
      </c>
      <c r="H20" s="21">
        <v>85</v>
      </c>
      <c r="I20" s="21">
        <v>99</v>
      </c>
      <c r="J20" s="21">
        <v>102</v>
      </c>
      <c r="K20" s="21">
        <v>101</v>
      </c>
      <c r="L20" s="21">
        <v>105</v>
      </c>
      <c r="M20" s="22">
        <f t="shared" si="0"/>
        <v>98</v>
      </c>
    </row>
    <row r="21" spans="2:13" x14ac:dyDescent="0.35">
      <c r="B21" s="25"/>
      <c r="C21" s="17" t="s">
        <v>5</v>
      </c>
      <c r="D21" s="26" t="s">
        <v>40</v>
      </c>
      <c r="E21" s="26"/>
      <c r="F21" s="26"/>
      <c r="G21" s="26"/>
      <c r="H21" s="26"/>
      <c r="I21" s="26"/>
      <c r="J21" s="26"/>
      <c r="K21" s="26"/>
      <c r="L21" s="26"/>
      <c r="M21" s="26"/>
    </row>
    <row r="22" spans="2:13" x14ac:dyDescent="0.35">
      <c r="B22" s="25"/>
      <c r="C22" s="18" t="s">
        <v>6</v>
      </c>
      <c r="D22" s="21">
        <v>118</v>
      </c>
      <c r="E22" s="21">
        <v>123</v>
      </c>
      <c r="F22" s="21">
        <v>110</v>
      </c>
      <c r="G22" s="21">
        <v>119</v>
      </c>
      <c r="H22" s="21">
        <v>114</v>
      </c>
      <c r="I22" s="21">
        <v>119</v>
      </c>
      <c r="J22" s="21">
        <v>123</v>
      </c>
      <c r="K22" s="21">
        <v>117</v>
      </c>
      <c r="L22" s="21">
        <v>103</v>
      </c>
      <c r="M22" s="22">
        <f t="shared" si="0"/>
        <v>116</v>
      </c>
    </row>
    <row r="23" spans="2:13" x14ac:dyDescent="0.35">
      <c r="B23" s="27" t="s">
        <v>3</v>
      </c>
      <c r="C23" s="17" t="s">
        <v>3</v>
      </c>
      <c r="D23" s="16">
        <v>171</v>
      </c>
      <c r="E23" s="16">
        <v>176</v>
      </c>
      <c r="F23" s="16">
        <v>157</v>
      </c>
      <c r="G23" s="16">
        <v>176</v>
      </c>
      <c r="H23" s="16">
        <v>174</v>
      </c>
      <c r="I23" s="16">
        <v>188</v>
      </c>
      <c r="J23" s="16">
        <v>173</v>
      </c>
      <c r="K23" s="16">
        <v>171</v>
      </c>
      <c r="L23" s="16">
        <v>184</v>
      </c>
      <c r="M23" s="23">
        <f t="shared" si="0"/>
        <v>174</v>
      </c>
    </row>
    <row r="24" spans="2:13" x14ac:dyDescent="0.35">
      <c r="B24" s="27"/>
      <c r="C24" s="18" t="s">
        <v>27</v>
      </c>
      <c r="D24" s="16">
        <v>178</v>
      </c>
      <c r="E24" s="16">
        <v>205</v>
      </c>
      <c r="F24" s="16">
        <v>185</v>
      </c>
      <c r="G24" s="16">
        <v>179</v>
      </c>
      <c r="H24" s="16">
        <v>183</v>
      </c>
      <c r="I24" s="16">
        <v>195</v>
      </c>
      <c r="J24" s="16">
        <v>207</v>
      </c>
      <c r="K24" s="16">
        <v>189</v>
      </c>
      <c r="L24" s="16">
        <v>183</v>
      </c>
      <c r="M24" s="23">
        <f t="shared" si="0"/>
        <v>189</v>
      </c>
    </row>
    <row r="25" spans="2:13" x14ac:dyDescent="0.35">
      <c r="B25" s="27"/>
      <c r="C25" s="17" t="s">
        <v>4</v>
      </c>
      <c r="D25" s="16">
        <v>162</v>
      </c>
      <c r="E25" s="16">
        <v>175</v>
      </c>
      <c r="F25" s="16">
        <v>158</v>
      </c>
      <c r="G25" s="16">
        <v>167</v>
      </c>
      <c r="H25" s="16">
        <v>160</v>
      </c>
      <c r="I25" s="16">
        <v>182</v>
      </c>
      <c r="J25" s="16">
        <v>167</v>
      </c>
      <c r="K25" s="16">
        <v>171</v>
      </c>
      <c r="L25" s="16">
        <v>172</v>
      </c>
      <c r="M25" s="23">
        <f t="shared" si="0"/>
        <v>168</v>
      </c>
    </row>
    <row r="26" spans="2:13" x14ac:dyDescent="0.35">
      <c r="B26" s="27"/>
      <c r="C26" s="18" t="s">
        <v>28</v>
      </c>
      <c r="D26" s="16">
        <v>160</v>
      </c>
      <c r="E26" s="16">
        <v>177</v>
      </c>
      <c r="F26" s="16">
        <v>155</v>
      </c>
      <c r="G26" s="16">
        <v>173</v>
      </c>
      <c r="H26" s="16">
        <v>161</v>
      </c>
      <c r="I26" s="16">
        <v>183</v>
      </c>
      <c r="J26" s="16">
        <v>169</v>
      </c>
      <c r="K26" s="16">
        <v>178</v>
      </c>
      <c r="L26" s="16">
        <v>168</v>
      </c>
      <c r="M26" s="23">
        <f t="shared" si="0"/>
        <v>169</v>
      </c>
    </row>
    <row r="27" spans="2:13" x14ac:dyDescent="0.35">
      <c r="B27" s="27"/>
      <c r="C27" s="17" t="s">
        <v>5</v>
      </c>
      <c r="D27" s="26" t="s">
        <v>40</v>
      </c>
      <c r="E27" s="26"/>
      <c r="F27" s="26"/>
      <c r="G27" s="26"/>
      <c r="H27" s="26"/>
      <c r="I27" s="26"/>
      <c r="J27" s="26"/>
      <c r="K27" s="26"/>
      <c r="L27" s="26"/>
      <c r="M27" s="26"/>
    </row>
    <row r="28" spans="2:13" x14ac:dyDescent="0.35">
      <c r="B28" s="27"/>
      <c r="C28" s="18" t="s">
        <v>6</v>
      </c>
      <c r="D28" s="16">
        <v>182</v>
      </c>
      <c r="E28" s="16">
        <v>193</v>
      </c>
      <c r="F28" s="16">
        <v>169</v>
      </c>
      <c r="G28" s="16">
        <v>183</v>
      </c>
      <c r="H28" s="16">
        <v>171</v>
      </c>
      <c r="I28" s="16">
        <v>195</v>
      </c>
      <c r="J28" s="16">
        <v>194</v>
      </c>
      <c r="K28" s="16">
        <v>176</v>
      </c>
      <c r="L28" s="16">
        <v>183</v>
      </c>
      <c r="M28" s="23">
        <f t="shared" si="0"/>
        <v>183</v>
      </c>
    </row>
    <row r="29" spans="2:13" x14ac:dyDescent="0.35">
      <c r="B29" s="25" t="s">
        <v>4</v>
      </c>
      <c r="C29" s="17" t="s">
        <v>3</v>
      </c>
      <c r="D29" s="21">
        <v>73</v>
      </c>
      <c r="E29" s="21">
        <v>74</v>
      </c>
      <c r="F29" s="21">
        <v>79</v>
      </c>
      <c r="G29" s="21">
        <v>85</v>
      </c>
      <c r="H29" s="21">
        <v>79</v>
      </c>
      <c r="I29" s="21">
        <v>92</v>
      </c>
      <c r="J29" s="21">
        <v>90</v>
      </c>
      <c r="K29" s="21">
        <v>88</v>
      </c>
      <c r="L29" s="21">
        <v>91</v>
      </c>
      <c r="M29" s="22">
        <f t="shared" si="0"/>
        <v>83</v>
      </c>
    </row>
    <row r="30" spans="2:13" x14ac:dyDescent="0.35">
      <c r="B30" s="25"/>
      <c r="C30" s="18" t="s">
        <v>27</v>
      </c>
      <c r="D30" s="21">
        <v>49</v>
      </c>
      <c r="E30" s="21">
        <v>43</v>
      </c>
      <c r="F30" s="21">
        <v>45</v>
      </c>
      <c r="G30" s="21">
        <v>59</v>
      </c>
      <c r="H30" s="21">
        <v>53</v>
      </c>
      <c r="I30" s="21">
        <v>78</v>
      </c>
      <c r="J30" s="21">
        <v>68</v>
      </c>
      <c r="K30" s="21">
        <v>84</v>
      </c>
      <c r="L30" s="21">
        <v>66</v>
      </c>
      <c r="M30" s="22">
        <f t="shared" si="0"/>
        <v>61</v>
      </c>
    </row>
    <row r="31" spans="2:13" x14ac:dyDescent="0.35">
      <c r="B31" s="25"/>
      <c r="C31" s="17" t="s">
        <v>4</v>
      </c>
      <c r="D31" s="21">
        <v>67</v>
      </c>
      <c r="E31" s="21">
        <v>70</v>
      </c>
      <c r="F31" s="21">
        <v>72</v>
      </c>
      <c r="G31" s="21">
        <v>84</v>
      </c>
      <c r="H31" s="21">
        <v>91</v>
      </c>
      <c r="I31" s="21">
        <v>101</v>
      </c>
      <c r="J31" s="21">
        <v>92</v>
      </c>
      <c r="K31" s="21">
        <v>93</v>
      </c>
      <c r="L31" s="21">
        <v>93</v>
      </c>
      <c r="M31" s="22">
        <f t="shared" si="0"/>
        <v>85</v>
      </c>
    </row>
    <row r="32" spans="2:13" x14ac:dyDescent="0.35">
      <c r="B32" s="25"/>
      <c r="C32" s="18" t="s">
        <v>28</v>
      </c>
      <c r="D32" s="21">
        <v>42</v>
      </c>
      <c r="E32" s="21">
        <v>36</v>
      </c>
      <c r="F32" s="21">
        <v>44</v>
      </c>
      <c r="G32" s="21">
        <v>47</v>
      </c>
      <c r="H32" s="21">
        <v>44</v>
      </c>
      <c r="I32" s="21">
        <v>51</v>
      </c>
      <c r="J32" s="21">
        <v>52</v>
      </c>
      <c r="K32" s="21">
        <v>48</v>
      </c>
      <c r="L32" s="21">
        <v>56</v>
      </c>
      <c r="M32" s="22">
        <f t="shared" si="0"/>
        <v>47</v>
      </c>
    </row>
    <row r="33" spans="2:13" x14ac:dyDescent="0.35">
      <c r="B33" s="25"/>
      <c r="C33" s="17" t="s">
        <v>5</v>
      </c>
      <c r="D33" s="26" t="s">
        <v>40</v>
      </c>
      <c r="E33" s="26"/>
      <c r="F33" s="26"/>
      <c r="G33" s="26"/>
      <c r="H33" s="26"/>
      <c r="I33" s="26"/>
      <c r="J33" s="26"/>
      <c r="K33" s="26"/>
      <c r="L33" s="26"/>
      <c r="M33" s="26"/>
    </row>
    <row r="34" spans="2:13" x14ac:dyDescent="0.35">
      <c r="B34" s="25"/>
      <c r="C34" s="18" t="s">
        <v>6</v>
      </c>
      <c r="D34" s="21">
        <v>67</v>
      </c>
      <c r="E34" s="21">
        <v>79</v>
      </c>
      <c r="F34" s="21">
        <v>78</v>
      </c>
      <c r="G34" s="21">
        <v>79</v>
      </c>
      <c r="H34" s="21">
        <v>82</v>
      </c>
      <c r="I34" s="21">
        <v>95</v>
      </c>
      <c r="J34" s="21">
        <v>95</v>
      </c>
      <c r="K34" s="21">
        <v>94</v>
      </c>
      <c r="L34" s="21">
        <v>94</v>
      </c>
      <c r="M34" s="22">
        <f t="shared" si="0"/>
        <v>85</v>
      </c>
    </row>
    <row r="35" spans="2:13" x14ac:dyDescent="0.35">
      <c r="B35" s="27" t="s">
        <v>5</v>
      </c>
      <c r="C35" s="17" t="s">
        <v>3</v>
      </c>
      <c r="D35" s="26" t="s">
        <v>40</v>
      </c>
      <c r="E35" s="26"/>
      <c r="F35" s="26"/>
      <c r="G35" s="26"/>
      <c r="H35" s="26"/>
      <c r="I35" s="26"/>
      <c r="J35" s="26"/>
      <c r="K35" s="26"/>
      <c r="L35" s="26"/>
      <c r="M35" s="26"/>
    </row>
    <row r="36" spans="2:13" x14ac:dyDescent="0.35">
      <c r="B36" s="27"/>
      <c r="C36" s="18" t="s">
        <v>27</v>
      </c>
      <c r="D36" s="26" t="s">
        <v>40</v>
      </c>
      <c r="E36" s="26"/>
      <c r="F36" s="26"/>
      <c r="G36" s="26"/>
      <c r="H36" s="26"/>
      <c r="I36" s="26"/>
      <c r="J36" s="26"/>
      <c r="K36" s="26"/>
      <c r="L36" s="26"/>
      <c r="M36" s="26"/>
    </row>
    <row r="37" spans="2:13" x14ac:dyDescent="0.35">
      <c r="B37" s="27"/>
      <c r="C37" s="17" t="s">
        <v>4</v>
      </c>
      <c r="D37" s="26" t="s">
        <v>40</v>
      </c>
      <c r="E37" s="26"/>
      <c r="F37" s="26"/>
      <c r="G37" s="26"/>
      <c r="H37" s="26"/>
      <c r="I37" s="26"/>
      <c r="J37" s="26"/>
      <c r="K37" s="26"/>
      <c r="L37" s="26"/>
      <c r="M37" s="26"/>
    </row>
    <row r="38" spans="2:13" x14ac:dyDescent="0.35">
      <c r="B38" s="27"/>
      <c r="C38" s="18" t="s">
        <v>28</v>
      </c>
      <c r="D38" s="26" t="s">
        <v>40</v>
      </c>
      <c r="E38" s="26"/>
      <c r="F38" s="26"/>
      <c r="G38" s="26"/>
      <c r="H38" s="26"/>
      <c r="I38" s="26"/>
      <c r="J38" s="26"/>
      <c r="K38" s="26"/>
      <c r="L38" s="26"/>
      <c r="M38" s="26"/>
    </row>
    <row r="39" spans="2:13" x14ac:dyDescent="0.35">
      <c r="B39" s="27"/>
      <c r="C39" s="17" t="s">
        <v>5</v>
      </c>
      <c r="D39" s="16">
        <v>138</v>
      </c>
      <c r="E39" s="16">
        <v>138</v>
      </c>
      <c r="F39" s="16">
        <v>133</v>
      </c>
      <c r="G39" s="16">
        <v>127</v>
      </c>
      <c r="H39" s="16">
        <v>129</v>
      </c>
      <c r="I39" s="16">
        <v>146</v>
      </c>
      <c r="J39" s="16">
        <v>147</v>
      </c>
      <c r="K39" s="16">
        <v>151</v>
      </c>
      <c r="L39" s="16">
        <v>150</v>
      </c>
      <c r="M39" s="23">
        <f t="shared" si="0"/>
        <v>140</v>
      </c>
    </row>
    <row r="40" spans="2:13" x14ac:dyDescent="0.35">
      <c r="B40" s="27"/>
      <c r="C40" s="18" t="s">
        <v>6</v>
      </c>
      <c r="D40" s="26" t="s">
        <v>40</v>
      </c>
      <c r="E40" s="26"/>
      <c r="F40" s="26"/>
      <c r="G40" s="26"/>
      <c r="H40" s="26"/>
      <c r="I40" s="26"/>
      <c r="J40" s="26"/>
      <c r="K40" s="26"/>
      <c r="L40" s="26"/>
      <c r="M40" s="26"/>
    </row>
    <row r="41" spans="2:13" x14ac:dyDescent="0.35">
      <c r="B41" s="25" t="s">
        <v>6</v>
      </c>
      <c r="C41" s="17" t="s">
        <v>3</v>
      </c>
      <c r="D41" s="21">
        <v>64</v>
      </c>
      <c r="E41" s="21">
        <v>66</v>
      </c>
      <c r="F41" s="21">
        <v>62</v>
      </c>
      <c r="G41" s="21">
        <v>66</v>
      </c>
      <c r="H41" s="21">
        <v>59</v>
      </c>
      <c r="I41" s="21">
        <v>64</v>
      </c>
      <c r="J41" s="21">
        <v>64</v>
      </c>
      <c r="K41" s="21">
        <v>67</v>
      </c>
      <c r="L41" s="21">
        <v>80</v>
      </c>
      <c r="M41" s="22">
        <f>ROUND(AVERAGE(D41:L41),0)</f>
        <v>66</v>
      </c>
    </row>
    <row r="42" spans="2:13" x14ac:dyDescent="0.35">
      <c r="B42" s="25"/>
      <c r="C42" s="18" t="s">
        <v>27</v>
      </c>
      <c r="D42" s="21">
        <v>86</v>
      </c>
      <c r="E42" s="21">
        <v>78</v>
      </c>
      <c r="F42" s="21">
        <v>76</v>
      </c>
      <c r="G42" s="21">
        <v>85</v>
      </c>
      <c r="H42" s="21">
        <v>69</v>
      </c>
      <c r="I42" s="21">
        <v>74</v>
      </c>
      <c r="J42" s="21">
        <v>76</v>
      </c>
      <c r="K42" s="21">
        <v>70</v>
      </c>
      <c r="L42" s="21">
        <v>88</v>
      </c>
      <c r="M42" s="22">
        <f t="shared" si="0"/>
        <v>78</v>
      </c>
    </row>
    <row r="43" spans="2:13" x14ac:dyDescent="0.35">
      <c r="B43" s="25"/>
      <c r="C43" s="17" t="s">
        <v>4</v>
      </c>
      <c r="D43" s="26" t="s">
        <v>40</v>
      </c>
      <c r="E43" s="26"/>
      <c r="F43" s="26"/>
      <c r="G43" s="26"/>
      <c r="H43" s="26"/>
      <c r="I43" s="26"/>
      <c r="J43" s="26"/>
      <c r="K43" s="26"/>
      <c r="L43" s="26"/>
      <c r="M43" s="26"/>
    </row>
    <row r="44" spans="2:13" x14ac:dyDescent="0.35">
      <c r="B44" s="25"/>
      <c r="C44" s="18" t="s">
        <v>28</v>
      </c>
      <c r="D44" s="21">
        <v>65</v>
      </c>
      <c r="E44" s="21">
        <v>72</v>
      </c>
      <c r="F44" s="21">
        <v>64</v>
      </c>
      <c r="G44" s="21">
        <v>66</v>
      </c>
      <c r="H44" s="21">
        <v>59</v>
      </c>
      <c r="I44" s="21">
        <v>59</v>
      </c>
      <c r="J44" s="21">
        <v>64</v>
      </c>
      <c r="K44" s="21">
        <v>65</v>
      </c>
      <c r="L44" s="21">
        <v>79</v>
      </c>
      <c r="M44" s="22">
        <f t="shared" si="0"/>
        <v>66</v>
      </c>
    </row>
    <row r="45" spans="2:13" x14ac:dyDescent="0.35">
      <c r="B45" s="25"/>
      <c r="C45" s="17" t="s">
        <v>5</v>
      </c>
      <c r="D45" s="26" t="s">
        <v>40</v>
      </c>
      <c r="E45" s="26"/>
      <c r="F45" s="26"/>
      <c r="G45" s="26"/>
      <c r="H45" s="26"/>
      <c r="I45" s="26"/>
      <c r="J45" s="26"/>
      <c r="K45" s="26"/>
      <c r="L45" s="26"/>
      <c r="M45" s="26"/>
    </row>
    <row r="46" spans="2:13" x14ac:dyDescent="0.35">
      <c r="B46" s="25"/>
      <c r="C46" s="18" t="s">
        <v>6</v>
      </c>
      <c r="D46" s="21">
        <v>82</v>
      </c>
      <c r="E46" s="21">
        <v>81</v>
      </c>
      <c r="F46" s="21">
        <v>85</v>
      </c>
      <c r="G46" s="21">
        <v>93</v>
      </c>
      <c r="H46" s="21">
        <v>90</v>
      </c>
      <c r="I46" s="21">
        <v>81</v>
      </c>
      <c r="J46" s="21">
        <v>82</v>
      </c>
      <c r="K46" s="21">
        <v>102</v>
      </c>
      <c r="L46" s="21">
        <v>104</v>
      </c>
      <c r="M46" s="22">
        <f t="shared" si="0"/>
        <v>89</v>
      </c>
    </row>
    <row r="47" spans="2:13" x14ac:dyDescent="0.35">
      <c r="M47" s="19"/>
    </row>
  </sheetData>
  <mergeCells count="19">
    <mergeCell ref="D36:M36"/>
    <mergeCell ref="D37:M37"/>
    <mergeCell ref="D38:M38"/>
    <mergeCell ref="B41:B46"/>
    <mergeCell ref="D9:M9"/>
    <mergeCell ref="D15:M15"/>
    <mergeCell ref="D21:M21"/>
    <mergeCell ref="D27:M27"/>
    <mergeCell ref="D33:M33"/>
    <mergeCell ref="D45:M45"/>
    <mergeCell ref="D43:M43"/>
    <mergeCell ref="B5:B10"/>
    <mergeCell ref="B11:B16"/>
    <mergeCell ref="B17:B22"/>
    <mergeCell ref="B23:B28"/>
    <mergeCell ref="B35:B40"/>
    <mergeCell ref="B29:B34"/>
    <mergeCell ref="D40:M40"/>
    <mergeCell ref="D35:M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4"/>
  <sheetViews>
    <sheetView tabSelected="1" topLeftCell="A2" zoomScale="60" zoomScaleNormal="60" workbookViewId="0">
      <selection activeCell="R24" sqref="R24"/>
    </sheetView>
  </sheetViews>
  <sheetFormatPr defaultRowHeight="14.5" x14ac:dyDescent="0.35"/>
  <cols>
    <col min="2" max="3" width="13" bestFit="1" customWidth="1"/>
    <col min="4" max="4" width="16.08984375" bestFit="1" customWidth="1"/>
    <col min="5" max="5" width="11" bestFit="1" customWidth="1"/>
    <col min="6" max="9" width="12.08984375" bestFit="1" customWidth="1"/>
    <col min="10" max="10" width="11" bestFit="1" customWidth="1"/>
    <col min="11" max="11" width="12.08984375" bestFit="1" customWidth="1"/>
    <col min="12" max="12" width="16.81640625" bestFit="1" customWidth="1"/>
    <col min="13" max="13" width="15.7265625" bestFit="1" customWidth="1"/>
    <col min="14" max="14" width="9.1796875" bestFit="1" customWidth="1"/>
    <col min="15" max="15" width="2.81640625" bestFit="1" customWidth="1"/>
  </cols>
  <sheetData>
    <row r="2" spans="2:15" x14ac:dyDescent="0.35">
      <c r="B2" s="20" t="s">
        <v>30</v>
      </c>
      <c r="C2" s="20" t="s">
        <v>29</v>
      </c>
      <c r="D2" s="20" t="s">
        <v>8</v>
      </c>
      <c r="E2" s="20" t="s">
        <v>7</v>
      </c>
      <c r="F2" s="20" t="s">
        <v>9</v>
      </c>
      <c r="G2" s="20" t="s">
        <v>10</v>
      </c>
      <c r="H2" s="20" t="s">
        <v>11</v>
      </c>
      <c r="I2" s="20" t="s">
        <v>12</v>
      </c>
      <c r="J2" s="20" t="s">
        <v>13</v>
      </c>
      <c r="K2" s="20" t="s">
        <v>14</v>
      </c>
      <c r="L2" s="20" t="s">
        <v>15</v>
      </c>
      <c r="M2" s="20" t="s">
        <v>16</v>
      </c>
      <c r="N2" s="20" t="s">
        <v>17</v>
      </c>
    </row>
    <row r="3" spans="2:15" x14ac:dyDescent="0.35">
      <c r="B3" s="25" t="s">
        <v>0</v>
      </c>
      <c r="C3" s="17" t="s">
        <v>3</v>
      </c>
      <c r="D3" s="21">
        <f>23.9492+1.74435</f>
        <v>25.693550000000002</v>
      </c>
      <c r="E3" s="21">
        <f>20.2239+2.73018</f>
        <v>22.954080000000001</v>
      </c>
      <c r="F3" s="21">
        <f>20.3796+2.90462</f>
        <v>23.284220000000001</v>
      </c>
      <c r="G3" s="21">
        <f>19.4823+2.65997</f>
        <v>22.14227</v>
      </c>
      <c r="H3" s="21">
        <f>18.4995+2.60518</f>
        <v>21.104680000000002</v>
      </c>
      <c r="I3" s="21">
        <f>18.0033+2.53989</f>
        <v>20.543189999999999</v>
      </c>
      <c r="J3" s="21">
        <f>18.8903+2.49909</f>
        <v>21.389389999999999</v>
      </c>
      <c r="K3" s="21">
        <f>18.1296+2.63766</f>
        <v>20.76726</v>
      </c>
      <c r="L3" s="21">
        <f>19.0946+2.63605</f>
        <v>21.730650000000001</v>
      </c>
      <c r="M3" s="21">
        <f>17.9262+2.54283</f>
        <v>20.46903</v>
      </c>
      <c r="N3" s="22">
        <f>ROUND(AVERAGE(D3:M3),2)</f>
        <v>22.01</v>
      </c>
    </row>
    <row r="4" spans="2:15" x14ac:dyDescent="0.35">
      <c r="B4" s="25"/>
      <c r="C4" s="18" t="s">
        <v>27</v>
      </c>
      <c r="D4" s="21">
        <f>27.9952+1.00201</f>
        <v>28.997209999999999</v>
      </c>
      <c r="E4" s="21">
        <f>23.0709+2.93686</f>
        <v>26.007760000000001</v>
      </c>
      <c r="F4" s="21">
        <f>21.3797+1.73451</f>
        <v>23.11421</v>
      </c>
      <c r="G4" s="21">
        <f>18.6875+1.75395</f>
        <v>20.44145</v>
      </c>
      <c r="H4" s="21">
        <f>18.1885+1.76247</f>
        <v>19.950970000000002</v>
      </c>
      <c r="I4" s="21">
        <f>17.7132+1.67985</f>
        <v>19.393050000000002</v>
      </c>
      <c r="J4" s="21">
        <f>17.6132+1.84605</f>
        <v>19.459249999999997</v>
      </c>
      <c r="K4" s="21">
        <f>18.0837+1.75442</f>
        <v>19.83812</v>
      </c>
      <c r="L4" s="21">
        <f>19.0051+1.68575</f>
        <v>20.690849999999998</v>
      </c>
      <c r="M4" s="21">
        <f>18.0831+1.66864</f>
        <v>19.751740000000002</v>
      </c>
      <c r="N4" s="22">
        <f t="shared" ref="N4:N32" si="0">ROUND(AVERAGE(D4:M4),2)</f>
        <v>21.76</v>
      </c>
    </row>
    <row r="5" spans="2:15" x14ac:dyDescent="0.35">
      <c r="B5" s="25"/>
      <c r="C5" s="17" t="s">
        <v>4</v>
      </c>
      <c r="D5" s="21">
        <f>26.4135+3.11189</f>
        <v>29.525389999999998</v>
      </c>
      <c r="E5" s="21">
        <f>23.0836+1.48347</f>
        <v>24.567070000000001</v>
      </c>
      <c r="F5" s="21">
        <f>20.7119+1.11852</f>
        <v>21.83042</v>
      </c>
      <c r="G5" s="21">
        <f>18.7945+1.05464</f>
        <v>19.849139999999998</v>
      </c>
      <c r="H5" s="21">
        <f>18.6732+1.14263</f>
        <v>19.815830000000002</v>
      </c>
      <c r="I5" s="21">
        <f>18.9142+1.30231</f>
        <v>20.21651</v>
      </c>
      <c r="J5" s="21">
        <f>18.221+1.05999</f>
        <v>19.280989999999999</v>
      </c>
      <c r="K5" s="21">
        <f>19.1488+1.1701</f>
        <v>20.318900000000003</v>
      </c>
      <c r="L5" s="21">
        <f>18.3936+1.05289</f>
        <v>19.446490000000001</v>
      </c>
      <c r="M5" s="21">
        <f>17.8917+1.03365</f>
        <v>18.925350000000002</v>
      </c>
      <c r="N5" s="22">
        <f t="shared" si="0"/>
        <v>21.38</v>
      </c>
    </row>
    <row r="6" spans="2:15" x14ac:dyDescent="0.35">
      <c r="B6" s="25"/>
      <c r="C6" s="18" t="s">
        <v>28</v>
      </c>
      <c r="D6" s="21">
        <f>23.3177+55.77</f>
        <v>79.087699999999998</v>
      </c>
      <c r="E6" s="21">
        <f>19.527+49.5139</f>
        <v>69.040899999999993</v>
      </c>
      <c r="F6" s="21">
        <f>18.2102+49.6263</f>
        <v>67.836500000000001</v>
      </c>
      <c r="G6" s="21">
        <f>14.1654+48.1478</f>
        <v>62.313199999999995</v>
      </c>
      <c r="H6" s="21">
        <f>13.0681+48.9143</f>
        <v>61.982399999999998</v>
      </c>
      <c r="I6" s="21">
        <f>12.406+48.6824</f>
        <v>61.0884</v>
      </c>
      <c r="J6" s="21">
        <f>12.9726+48.164</f>
        <v>61.136600000000001</v>
      </c>
      <c r="K6" s="21">
        <f>12.4288+47.8757</f>
        <v>60.304500000000004</v>
      </c>
      <c r="L6" s="21">
        <f>12.4133+47.2261</f>
        <v>59.639400000000002</v>
      </c>
      <c r="M6" s="21">
        <f>12.7419+52.8923</f>
        <v>65.634199999999993</v>
      </c>
      <c r="N6" s="22">
        <f t="shared" si="0"/>
        <v>64.81</v>
      </c>
    </row>
    <row r="7" spans="2:15" x14ac:dyDescent="0.35">
      <c r="B7" s="25"/>
      <c r="C7" s="17" t="s">
        <v>5</v>
      </c>
      <c r="D7" s="26" t="s">
        <v>40</v>
      </c>
      <c r="E7" s="26"/>
      <c r="F7" s="26"/>
      <c r="G7" s="26"/>
      <c r="H7" s="26"/>
      <c r="I7" s="26"/>
      <c r="J7" s="26"/>
      <c r="K7" s="26"/>
      <c r="L7" s="26"/>
      <c r="M7" s="26"/>
      <c r="N7" s="26"/>
    </row>
    <row r="8" spans="2:15" x14ac:dyDescent="0.35">
      <c r="B8" s="25"/>
      <c r="C8" s="18" t="s">
        <v>6</v>
      </c>
      <c r="D8" s="21">
        <f>24.14+32.2093</f>
        <v>56.349299999999999</v>
      </c>
      <c r="E8" s="21">
        <f>12.2267+23.1936</f>
        <v>35.420299999999997</v>
      </c>
      <c r="F8" s="21">
        <f>18.5983+24.283</f>
        <v>42.881299999999996</v>
      </c>
      <c r="G8" s="21">
        <f>13.3486+18.6941</f>
        <v>32.042699999999996</v>
      </c>
      <c r="H8" s="21">
        <f>16.3702+19.195</f>
        <v>35.565200000000004</v>
      </c>
      <c r="I8" s="21">
        <f>12.953+17.9597</f>
        <v>30.912700000000001</v>
      </c>
      <c r="J8" s="21">
        <f>15.6338+17.4055</f>
        <v>33.039299999999997</v>
      </c>
      <c r="K8" s="21">
        <f>12.5367+18.2227</f>
        <v>30.759399999999999</v>
      </c>
      <c r="L8" s="21">
        <f>12.9766+17.7773</f>
        <v>30.753900000000002</v>
      </c>
      <c r="M8" s="21">
        <f>13.0115+17.9821</f>
        <v>30.993600000000001</v>
      </c>
      <c r="N8" s="22">
        <f t="shared" si="0"/>
        <v>35.869999999999997</v>
      </c>
    </row>
    <row r="9" spans="2:15" x14ac:dyDescent="0.35">
      <c r="B9" s="27" t="s">
        <v>1</v>
      </c>
      <c r="C9" s="17" t="s">
        <v>3</v>
      </c>
      <c r="D9" s="16">
        <f>25.6065+0.608332</f>
        <v>26.214832000000001</v>
      </c>
      <c r="E9" s="16">
        <f>20.8735+1.46219</f>
        <v>22.33569</v>
      </c>
      <c r="F9" s="16">
        <f>20.5813+1.4529</f>
        <v>22.034199999999998</v>
      </c>
      <c r="G9" s="16">
        <f>19.5868+1.47941</f>
        <v>21.066210000000002</v>
      </c>
      <c r="H9" s="16">
        <f>20.1202+1.58019</f>
        <v>21.700389999999999</v>
      </c>
      <c r="I9" s="16">
        <f>32.9194+1.4915</f>
        <v>34.410900000000005</v>
      </c>
      <c r="J9" s="16">
        <f>19.56+1.46312</f>
        <v>21.023119999999999</v>
      </c>
      <c r="K9" s="16">
        <f>21.1972+1.60887</f>
        <v>22.806069999999998</v>
      </c>
      <c r="L9" s="16">
        <f>18.2061+0.595</f>
        <v>18.801099999999998</v>
      </c>
      <c r="M9" s="16">
        <f>20.8861+1.61902</f>
        <v>22.505119999999998</v>
      </c>
      <c r="N9" s="16">
        <f t="shared" si="0"/>
        <v>23.29</v>
      </c>
    </row>
    <row r="10" spans="2:15" x14ac:dyDescent="0.35">
      <c r="B10" s="27"/>
      <c r="C10" s="18" t="s">
        <v>27</v>
      </c>
      <c r="D10" s="16">
        <f>23.8706+0.390753</f>
        <v>24.261353</v>
      </c>
      <c r="E10" s="16">
        <f>20.0892+1.23721</f>
        <v>21.326410000000003</v>
      </c>
      <c r="F10" s="16">
        <f>20.9923+1.22499</f>
        <v>22.217289999999998</v>
      </c>
      <c r="G10" s="16">
        <f>19.083+1.23997</f>
        <v>20.322969999999998</v>
      </c>
      <c r="H10" s="16">
        <f>19.2024+1.30731</f>
        <v>20.509710000000002</v>
      </c>
      <c r="I10" s="16">
        <f>34.0129+1.57903</f>
        <v>35.591930000000005</v>
      </c>
      <c r="J10" s="16">
        <f>18.5192+1.15839</f>
        <v>19.677590000000002</v>
      </c>
      <c r="K10" s="16">
        <f>20.8807+1.47551</f>
        <v>22.356210000000001</v>
      </c>
      <c r="L10" s="16">
        <f>19.0332+1.34514</f>
        <v>20.378340000000001</v>
      </c>
      <c r="M10" s="16">
        <f>25.0389+1.77845</f>
        <v>26.817350000000001</v>
      </c>
      <c r="N10" s="16">
        <f t="shared" si="0"/>
        <v>23.35</v>
      </c>
    </row>
    <row r="11" spans="2:15" x14ac:dyDescent="0.35">
      <c r="B11" s="27"/>
      <c r="C11" s="17" t="s">
        <v>4</v>
      </c>
      <c r="D11" s="16">
        <f>24.9619+0.928672</f>
        <v>25.890571999999999</v>
      </c>
      <c r="E11" s="16">
        <f>20.3854+1.0658</f>
        <v>21.4512</v>
      </c>
      <c r="F11" s="16">
        <f>20.1601+1.04253</f>
        <v>21.202629999999999</v>
      </c>
      <c r="G11" s="16">
        <f>19.108+0.96163</f>
        <v>20.06963</v>
      </c>
      <c r="H11" s="16">
        <f>19.6804+0.937125</f>
        <v>20.617525000000001</v>
      </c>
      <c r="I11" s="16">
        <f>33.5769+0.92838</f>
        <v>34.505279999999999</v>
      </c>
      <c r="J11" s="16">
        <f>17.1308+0.864155</f>
        <v>17.994955000000001</v>
      </c>
      <c r="K11" s="16">
        <f>20.1138+0.888402</f>
        <v>21.002202</v>
      </c>
      <c r="L11" s="16">
        <f>19.0652+0.902349</f>
        <v>19.967549000000002</v>
      </c>
      <c r="M11" s="16">
        <f>25.1558+1.19397</f>
        <v>26.349769999999999</v>
      </c>
      <c r="N11" s="16">
        <f t="shared" si="0"/>
        <v>22.91</v>
      </c>
    </row>
    <row r="12" spans="2:15" x14ac:dyDescent="0.35">
      <c r="B12" s="27"/>
      <c r="C12" s="18" t="s">
        <v>28</v>
      </c>
      <c r="D12" s="16">
        <f>24.9539+54.1035</f>
        <v>79.057400000000001</v>
      </c>
      <c r="E12" s="16">
        <f>21.2938+48.4799</f>
        <v>69.773700000000005</v>
      </c>
      <c r="F12" s="16">
        <f>20.013+50.2929</f>
        <v>70.305900000000008</v>
      </c>
      <c r="G12" s="16">
        <f>15.345+47.1038</f>
        <v>62.448799999999999</v>
      </c>
      <c r="H12" s="16">
        <f>14.9083+48.2378</f>
        <v>63.146100000000004</v>
      </c>
      <c r="I12" s="16">
        <f>29.5674+48.3581</f>
        <v>77.9255</v>
      </c>
      <c r="J12" s="16">
        <f>14.121+47.8324</f>
        <v>61.953400000000002</v>
      </c>
      <c r="K12" s="16">
        <f>16.6234+48.3286</f>
        <v>64.951999999999998</v>
      </c>
      <c r="L12" s="16">
        <f>15.6935+47.9318</f>
        <v>63.625300000000003</v>
      </c>
      <c r="M12" s="16">
        <f>20.1294+49.9166</f>
        <v>70.046000000000006</v>
      </c>
      <c r="N12" s="16">
        <f t="shared" si="0"/>
        <v>68.319999999999993</v>
      </c>
    </row>
    <row r="13" spans="2:15" x14ac:dyDescent="0.35">
      <c r="B13" s="27"/>
      <c r="C13" s="17" t="s">
        <v>5</v>
      </c>
      <c r="D13" s="26" t="s">
        <v>40</v>
      </c>
      <c r="E13" s="26"/>
      <c r="F13" s="26"/>
      <c r="G13" s="26"/>
      <c r="H13" s="26"/>
      <c r="I13" s="26"/>
      <c r="J13" s="26"/>
      <c r="K13" s="26"/>
      <c r="L13" s="26"/>
      <c r="M13" s="26"/>
      <c r="N13" s="26"/>
    </row>
    <row r="14" spans="2:15" x14ac:dyDescent="0.35">
      <c r="B14" s="27"/>
      <c r="C14" s="18" t="s">
        <v>6</v>
      </c>
      <c r="D14" s="16">
        <f>27.9375+30.211</f>
        <v>58.148499999999999</v>
      </c>
      <c r="E14" s="16">
        <f>23.2992+29.1155</f>
        <v>52.414699999999996</v>
      </c>
      <c r="F14" s="16">
        <f>21.3058+27.7385</f>
        <v>49.0443</v>
      </c>
      <c r="G14" s="16">
        <f>19.7742+26.8726</f>
        <v>46.646799999999999</v>
      </c>
      <c r="H14" s="16">
        <f>19.837+28.9594</f>
        <v>48.796399999999998</v>
      </c>
      <c r="I14" s="16">
        <f>33.591+24.3253</f>
        <v>57.9163</v>
      </c>
      <c r="J14" s="16">
        <f>19.4418+25.7253</f>
        <v>45.167100000000005</v>
      </c>
      <c r="K14" s="16">
        <f>23.7479+25.3938</f>
        <v>49.1417</v>
      </c>
      <c r="L14" s="16">
        <f>20.2183+25.2394</f>
        <v>45.457700000000003</v>
      </c>
      <c r="M14" s="16">
        <f>24.8083+25.1318</f>
        <v>49.940100000000001</v>
      </c>
      <c r="N14" s="16">
        <f t="shared" si="0"/>
        <v>50.27</v>
      </c>
    </row>
    <row r="15" spans="2:15" x14ac:dyDescent="0.35">
      <c r="B15" s="25" t="s">
        <v>2</v>
      </c>
      <c r="C15" s="17" t="s">
        <v>3</v>
      </c>
      <c r="D15" s="21">
        <f>1.02273+3.11207</f>
        <v>4.1348000000000003</v>
      </c>
      <c r="E15" s="21">
        <f>1.34525+2.98966</f>
        <v>4.3349100000000007</v>
      </c>
      <c r="F15" s="21">
        <f>0.950026+3.03984</f>
        <v>3.9898660000000001</v>
      </c>
      <c r="G15" s="21">
        <f>0.989446+1.97757</f>
        <v>2.9670160000000001</v>
      </c>
      <c r="H15" s="21">
        <f>0.821648+2.18927</f>
        <v>3.0109180000000002</v>
      </c>
      <c r="I15" s="21">
        <f>0.917068+1.88969</f>
        <v>2.8067580000000003</v>
      </c>
      <c r="J15" s="21">
        <f>0.984276+1.9997</f>
        <v>2.9839760000000002</v>
      </c>
      <c r="K15" s="21">
        <f>0.822774+2.35893</f>
        <v>3.1817039999999999</v>
      </c>
      <c r="L15" s="21">
        <f>0.808999+1.78134</f>
        <v>2.5903390000000002</v>
      </c>
      <c r="M15" s="21">
        <f>0.86241+1.9163</f>
        <v>2.7787099999999998</v>
      </c>
      <c r="N15" s="31">
        <f t="shared" si="0"/>
        <v>3.28</v>
      </c>
      <c r="O15" s="32" t="s">
        <v>46</v>
      </c>
    </row>
    <row r="16" spans="2:15" x14ac:dyDescent="0.35">
      <c r="B16" s="25"/>
      <c r="C16" s="18" t="s">
        <v>27</v>
      </c>
      <c r="D16" s="21">
        <f>0.976801+2.67252</f>
        <v>3.649321</v>
      </c>
      <c r="E16" s="21">
        <f>0.97966+1.90252</f>
        <v>2.88218</v>
      </c>
      <c r="F16" s="21">
        <f>0.950432+1.97251</f>
        <v>2.9229419999999999</v>
      </c>
      <c r="G16" s="21">
        <f>0.902802+1.38679</f>
        <v>2.2895919999999998</v>
      </c>
      <c r="H16" s="21">
        <f>0.973985+0.845219</f>
        <v>1.819204</v>
      </c>
      <c r="I16" s="21">
        <f>0.80423+0.822811</f>
        <v>1.627041</v>
      </c>
      <c r="J16" s="21">
        <f>0.997268+0.849263</f>
        <v>1.8465310000000001</v>
      </c>
      <c r="K16" s="21">
        <f>0.815632+0.847186</f>
        <v>1.6628180000000001</v>
      </c>
      <c r="L16" s="21">
        <f>0.992008+0.799533</f>
        <v>1.7915410000000001</v>
      </c>
      <c r="M16" s="21">
        <f>0.946076+0.822753</f>
        <v>1.768829</v>
      </c>
      <c r="N16" s="31">
        <f t="shared" si="0"/>
        <v>2.23</v>
      </c>
      <c r="O16" s="32" t="s">
        <v>44</v>
      </c>
    </row>
    <row r="17" spans="2:15" x14ac:dyDescent="0.35">
      <c r="B17" s="25"/>
      <c r="C17" s="17" t="s">
        <v>4</v>
      </c>
      <c r="D17" s="21">
        <f>1.03216+1.95478</f>
        <v>2.9869399999999997</v>
      </c>
      <c r="E17" s="21">
        <f>1.12177+1.38937</f>
        <v>2.5111400000000001</v>
      </c>
      <c r="F17" s="21">
        <f>0.959823+1.32791</f>
        <v>2.2877329999999998</v>
      </c>
      <c r="G17" s="21">
        <f>0.888483+1.14634</f>
        <v>2.0348229999999998</v>
      </c>
      <c r="H17" s="21">
        <f>0.89667+1.7031</f>
        <v>2.5997699999999999</v>
      </c>
      <c r="I17" s="21">
        <f>0.917646+1.12996</f>
        <v>2.047606</v>
      </c>
      <c r="J17" s="21">
        <f>0.986347+1.20109</f>
        <v>2.1874370000000001</v>
      </c>
      <c r="K17" s="21">
        <f>0.900503+2.97561</f>
        <v>3.8761130000000001</v>
      </c>
      <c r="L17" s="21">
        <f>0.950893+1.09159</f>
        <v>2.0424829999999998</v>
      </c>
      <c r="M17" s="21">
        <f>0.9334867+1.11162</f>
        <v>2.0451066999999998</v>
      </c>
      <c r="N17" s="31">
        <f t="shared" si="0"/>
        <v>2.46</v>
      </c>
      <c r="O17" s="32" t="s">
        <v>45</v>
      </c>
    </row>
    <row r="18" spans="2:15" x14ac:dyDescent="0.35">
      <c r="B18" s="25"/>
      <c r="C18" s="18" t="s">
        <v>28</v>
      </c>
      <c r="D18" s="21" t="s">
        <v>43</v>
      </c>
      <c r="E18" s="21">
        <f>1.1792+63.0295</f>
        <v>64.208699999999993</v>
      </c>
      <c r="F18" s="21">
        <f>1.12284+59.9735</f>
        <v>61.096339999999998</v>
      </c>
      <c r="G18" s="21">
        <f>1.01193+54.6073</f>
        <v>55.619230000000002</v>
      </c>
      <c r="H18" s="21">
        <f>1.1247+53.3395</f>
        <v>54.464199999999998</v>
      </c>
      <c r="I18" s="21">
        <f>1.07675+58.4679</f>
        <v>59.544649999999997</v>
      </c>
      <c r="J18" s="21">
        <f>1.03579+61.2428</f>
        <v>62.278590000000001</v>
      </c>
      <c r="K18" s="21">
        <f>1.14377+54.3096</f>
        <v>55.453370000000007</v>
      </c>
      <c r="L18" s="21">
        <f>1.1823+55.3653</f>
        <v>56.547599999999996</v>
      </c>
      <c r="M18" s="21">
        <f>0.97726+52.654</f>
        <v>53.631260000000005</v>
      </c>
      <c r="N18" s="22">
        <f t="shared" si="0"/>
        <v>58.09</v>
      </c>
    </row>
    <row r="19" spans="2:15" x14ac:dyDescent="0.35">
      <c r="B19" s="25"/>
      <c r="C19" s="17" t="s">
        <v>5</v>
      </c>
      <c r="D19" s="26" t="s">
        <v>40</v>
      </c>
      <c r="E19" s="26"/>
      <c r="F19" s="26"/>
      <c r="G19" s="26"/>
      <c r="H19" s="26"/>
      <c r="I19" s="26"/>
      <c r="J19" s="26"/>
      <c r="K19" s="26"/>
      <c r="L19" s="26"/>
      <c r="M19" s="26"/>
      <c r="N19" s="26"/>
    </row>
    <row r="20" spans="2:15" x14ac:dyDescent="0.35">
      <c r="B20" s="25"/>
      <c r="C20" s="18" t="s">
        <v>6</v>
      </c>
      <c r="D20" s="21">
        <f>1.62149+44.3869</f>
        <v>46.008389999999999</v>
      </c>
      <c r="E20" s="21">
        <f>1.00563+39.2296</f>
        <v>40.235230000000001</v>
      </c>
      <c r="F20" s="21">
        <f>0.92659+37.2093</f>
        <v>38.135889999999996</v>
      </c>
      <c r="G20" s="21">
        <f>0.89742+35.8048</f>
        <v>36.702219999999997</v>
      </c>
      <c r="H20" s="21">
        <f>0.833165+33.19</f>
        <v>34.023164999999999</v>
      </c>
      <c r="I20" s="21">
        <f>1.00067+33.1104</f>
        <v>34.111069999999998</v>
      </c>
      <c r="J20" s="21">
        <f>0.810833+33.8357</f>
        <v>34.646533000000005</v>
      </c>
      <c r="K20" s="21">
        <f>0.811159+33.505</f>
        <v>34.316158999999999</v>
      </c>
      <c r="L20" s="21" t="s">
        <v>41</v>
      </c>
      <c r="M20" s="21" t="s">
        <v>42</v>
      </c>
      <c r="N20" s="22">
        <f t="shared" si="0"/>
        <v>37.270000000000003</v>
      </c>
    </row>
    <row r="21" spans="2:15" x14ac:dyDescent="0.35">
      <c r="B21" s="27" t="s">
        <v>3</v>
      </c>
      <c r="C21" s="17" t="s">
        <v>3</v>
      </c>
      <c r="D21" s="16">
        <f>49.8608+4.41215</f>
        <v>54.272949999999994</v>
      </c>
      <c r="E21" s="16">
        <f>48.6343+3.47629</f>
        <v>52.110590000000002</v>
      </c>
      <c r="F21" s="16">
        <f>47.6011+3.95924</f>
        <v>51.560340000000004</v>
      </c>
      <c r="G21" s="16">
        <f>46.7187+3.36902</f>
        <v>50.087719999999997</v>
      </c>
      <c r="H21" s="16">
        <f>45.3214+3.62933</f>
        <v>48.95073</v>
      </c>
      <c r="I21" s="16">
        <f>45.712+3.43501</f>
        <v>49.147010000000002</v>
      </c>
      <c r="J21" s="16">
        <f>45.9725+3.53052</f>
        <v>49.503019999999999</v>
      </c>
      <c r="K21" s="16">
        <f>45.6243+3.46287</f>
        <v>49.08717</v>
      </c>
      <c r="L21" s="16">
        <f>44.675+3.44166</f>
        <v>48.116659999999996</v>
      </c>
      <c r="M21" s="16">
        <f>46.5047+3.41512</f>
        <v>49.919820000000001</v>
      </c>
      <c r="N21" s="16">
        <f t="shared" si="0"/>
        <v>50.28</v>
      </c>
    </row>
    <row r="22" spans="2:15" x14ac:dyDescent="0.35">
      <c r="B22" s="27"/>
      <c r="C22" s="18" t="s">
        <v>27</v>
      </c>
      <c r="D22" s="16">
        <f>48.9708+2.21794</f>
        <v>51.188739999999996</v>
      </c>
      <c r="E22" s="16">
        <f>46.4871+1.23985</f>
        <v>47.726949999999995</v>
      </c>
      <c r="F22" s="16">
        <f>47.3213+1.25334</f>
        <v>48.574640000000002</v>
      </c>
      <c r="G22" s="16">
        <f>46.0121+1.20282</f>
        <v>47.214919999999999</v>
      </c>
      <c r="H22" s="16">
        <f>46.3364+1.24804</f>
        <v>47.584440000000001</v>
      </c>
      <c r="I22" s="16">
        <f>46.5277+1.2119</f>
        <v>47.739600000000003</v>
      </c>
      <c r="J22" s="16">
        <f>45.3237+1.34241</f>
        <v>46.666110000000003</v>
      </c>
      <c r="K22" s="16">
        <f>45.7541+1.2095</f>
        <v>46.9636</v>
      </c>
      <c r="L22" s="16">
        <f>45.9549+1.16555</f>
        <v>47.120450000000005</v>
      </c>
      <c r="M22" s="16">
        <f>44.9446+1.13519</f>
        <v>46.079790000000003</v>
      </c>
      <c r="N22" s="16">
        <f t="shared" si="0"/>
        <v>47.69</v>
      </c>
    </row>
    <row r="23" spans="2:15" x14ac:dyDescent="0.35">
      <c r="B23" s="27"/>
      <c r="C23" s="17" t="s">
        <v>4</v>
      </c>
      <c r="D23" s="16">
        <f>49.5778+6.00353</f>
        <v>55.581330000000001</v>
      </c>
      <c r="E23" s="16">
        <f>47.9924+4.88053</f>
        <v>52.872930000000004</v>
      </c>
      <c r="F23" s="16">
        <f>48.1782+5.36244</f>
        <v>53.540639999999996</v>
      </c>
      <c r="G23" s="16">
        <f>45.9779+5.20512</f>
        <v>51.183019999999999</v>
      </c>
      <c r="H23" s="16">
        <f>49.1835+5.18764</f>
        <v>54.371140000000004</v>
      </c>
      <c r="I23" s="16">
        <f>46.4256+5.1671</f>
        <v>51.592700000000001</v>
      </c>
      <c r="J23" s="16">
        <f>45.9054+5.21751</f>
        <v>51.122909999999997</v>
      </c>
      <c r="K23" s="16">
        <f>45.1455+5.02891</f>
        <v>50.174409999999995</v>
      </c>
      <c r="L23" s="16">
        <f>46.4128+5.02228</f>
        <v>51.435079999999999</v>
      </c>
      <c r="M23" s="16">
        <f>44.6916+4.95607</f>
        <v>49.647670000000005</v>
      </c>
      <c r="N23" s="16">
        <f t="shared" si="0"/>
        <v>52.15</v>
      </c>
    </row>
    <row r="24" spans="2:15" x14ac:dyDescent="0.35">
      <c r="B24" s="27"/>
      <c r="C24" s="18" t="s">
        <v>28</v>
      </c>
      <c r="D24" s="16">
        <f>50.0123+55.6796</f>
        <v>105.6919</v>
      </c>
      <c r="E24" s="16">
        <f>47.1179+53.8005</f>
        <v>100.91839999999999</v>
      </c>
      <c r="F24" s="16">
        <f>49.0941+55.0033</f>
        <v>104.09739999999999</v>
      </c>
      <c r="G24" s="16">
        <f>45.7779+49.0465</f>
        <v>94.824399999999997</v>
      </c>
      <c r="H24" s="16">
        <f>47.1479+50.6328</f>
        <v>97.780699999999996</v>
      </c>
      <c r="I24" s="16">
        <f>46.4418+50.2153</f>
        <v>96.6571</v>
      </c>
      <c r="J24" s="16">
        <f>45.525+50.255</f>
        <v>95.78</v>
      </c>
      <c r="K24" s="16">
        <f>45.7265+51.0275</f>
        <v>96.754000000000005</v>
      </c>
      <c r="L24" s="16">
        <f>44.8834+48.4807</f>
        <v>93.364100000000008</v>
      </c>
      <c r="M24" s="16">
        <f>45.48+48.9006</f>
        <v>94.380599999999987</v>
      </c>
      <c r="N24" s="16">
        <f t="shared" si="0"/>
        <v>98.02</v>
      </c>
    </row>
    <row r="25" spans="2:15" x14ac:dyDescent="0.35">
      <c r="B25" s="27"/>
      <c r="C25" s="17" t="s">
        <v>5</v>
      </c>
      <c r="D25" s="26" t="s">
        <v>40</v>
      </c>
      <c r="E25" s="26"/>
      <c r="F25" s="26"/>
      <c r="G25" s="26"/>
      <c r="H25" s="26"/>
      <c r="I25" s="26"/>
      <c r="J25" s="26"/>
      <c r="K25" s="26"/>
      <c r="L25" s="26"/>
      <c r="M25" s="26"/>
      <c r="N25" s="26"/>
    </row>
    <row r="26" spans="2:15" x14ac:dyDescent="0.35">
      <c r="B26" s="27"/>
      <c r="C26" s="18" t="s">
        <v>6</v>
      </c>
      <c r="D26" s="16">
        <f>57.7634+81.3124</f>
        <v>139.07579999999999</v>
      </c>
      <c r="E26" s="16">
        <f>47.9852+69.676</f>
        <v>117.66120000000001</v>
      </c>
      <c r="F26" s="16">
        <f>48.1277+73.9748</f>
        <v>122.10249999999999</v>
      </c>
      <c r="G26" s="16">
        <f>47.8862+72.6299</f>
        <v>120.51610000000001</v>
      </c>
      <c r="H26" s="16">
        <f>46.3339+70.4783</f>
        <v>116.8122</v>
      </c>
      <c r="I26" s="16">
        <f>47.1273+67.5689</f>
        <v>114.6962</v>
      </c>
      <c r="J26" s="16">
        <f>51.2896+70.4816</f>
        <v>121.77119999999999</v>
      </c>
      <c r="K26" s="16">
        <f>48.6033+67.7564</f>
        <v>116.3597</v>
      </c>
      <c r="L26" s="16">
        <f>45.6343+69.3884</f>
        <v>115.02270000000001</v>
      </c>
      <c r="M26" s="16">
        <f>47.411+68.2795</f>
        <v>115.6905</v>
      </c>
      <c r="N26" s="16">
        <f t="shared" si="0"/>
        <v>119.97</v>
      </c>
    </row>
    <row r="27" spans="2:15" x14ac:dyDescent="0.35">
      <c r="B27" s="25" t="s">
        <v>4</v>
      </c>
      <c r="C27" s="17" t="s">
        <v>3</v>
      </c>
      <c r="D27" s="21">
        <f>12.8978+2.34579</f>
        <v>15.243590000000001</v>
      </c>
      <c r="E27" s="21">
        <f>9.20782+1.43934</f>
        <v>10.64716</v>
      </c>
      <c r="F27" s="21">
        <f>8.68695+1.49282</f>
        <v>10.17977</v>
      </c>
      <c r="G27" s="21">
        <f>7.73416+1.56463</f>
        <v>9.2987900000000003</v>
      </c>
      <c r="H27" s="21">
        <f>9.66631+1.55467</f>
        <v>11.220979999999999</v>
      </c>
      <c r="I27" s="21">
        <f>11.3974+1.76899</f>
        <v>13.16639</v>
      </c>
      <c r="J27" s="21">
        <f>8.68419+1.81188</f>
        <v>10.49607</v>
      </c>
      <c r="K27" s="21">
        <f>9.72222+1.82332</f>
        <v>11.545540000000001</v>
      </c>
      <c r="L27" s="21">
        <f>9.21971+1.73758</f>
        <v>10.957289999999999</v>
      </c>
      <c r="M27" s="21">
        <f>10.1403+1.73687</f>
        <v>11.87717</v>
      </c>
      <c r="N27" s="22">
        <f t="shared" si="0"/>
        <v>11.46</v>
      </c>
    </row>
    <row r="28" spans="2:15" x14ac:dyDescent="0.35">
      <c r="B28" s="25"/>
      <c r="C28" s="18" t="s">
        <v>27</v>
      </c>
      <c r="D28" s="21">
        <f>13.5842+1.62183</f>
        <v>15.206029999999998</v>
      </c>
      <c r="E28" s="21">
        <f>8.72961+1.00229</f>
        <v>9.7318999999999996</v>
      </c>
      <c r="F28" s="21">
        <f>8.84693+1.41068</f>
        <v>10.25761</v>
      </c>
      <c r="G28" s="21">
        <f>7.60265+0.716106</f>
        <v>8.3187560000000005</v>
      </c>
      <c r="H28" s="21">
        <f>7.88183+1.55429</f>
        <v>9.436119999999999</v>
      </c>
      <c r="I28" s="21">
        <f>8.30754+1.0751</f>
        <v>9.3826399999999985</v>
      </c>
      <c r="J28" s="21">
        <f>7.80577+1.17143</f>
        <v>8.9771999999999998</v>
      </c>
      <c r="K28" s="21">
        <f>8.16295+1.62991</f>
        <v>9.792860000000001</v>
      </c>
      <c r="L28" s="21">
        <f>8.95725+0.862211</f>
        <v>9.8194610000000004</v>
      </c>
      <c r="M28" s="21">
        <f>7.95607+1.63545</f>
        <v>9.5915200000000009</v>
      </c>
      <c r="N28" s="22">
        <f t="shared" si="0"/>
        <v>10.050000000000001</v>
      </c>
    </row>
    <row r="29" spans="2:15" x14ac:dyDescent="0.35">
      <c r="B29" s="25"/>
      <c r="C29" s="17" t="s">
        <v>4</v>
      </c>
      <c r="D29" s="21">
        <f>14.7663+6.67353</f>
        <v>21.439830000000001</v>
      </c>
      <c r="E29" s="21">
        <f>10.2876+5.62221</f>
        <v>15.90981</v>
      </c>
      <c r="F29" s="21">
        <f>11.081+5.19247</f>
        <v>16.27347</v>
      </c>
      <c r="G29" s="21">
        <f>7.69844+8.02656</f>
        <v>15.725</v>
      </c>
      <c r="H29" s="21">
        <f>8.04734+5.78275</f>
        <v>13.83009</v>
      </c>
      <c r="I29" s="21">
        <f>7.6795+5.62945</f>
        <v>13.308949999999999</v>
      </c>
      <c r="J29" s="21">
        <f>7.80801+6.3588</f>
        <v>14.16681</v>
      </c>
      <c r="K29" s="21">
        <f>7.71536+6.37744</f>
        <v>14.0928</v>
      </c>
      <c r="L29" s="21">
        <f>7.81291+6.82574</f>
        <v>14.638649999999998</v>
      </c>
      <c r="M29" s="21">
        <f>8.03711+6.52667</f>
        <v>14.563780000000001</v>
      </c>
      <c r="N29" s="22">
        <f t="shared" si="0"/>
        <v>15.39</v>
      </c>
    </row>
    <row r="30" spans="2:15" x14ac:dyDescent="0.35">
      <c r="B30" s="25"/>
      <c r="C30" s="18" t="s">
        <v>28</v>
      </c>
      <c r="D30" s="21">
        <f>13.321+53.2838</f>
        <v>66.604799999999997</v>
      </c>
      <c r="E30" s="21">
        <f>9.75723+52.0997</f>
        <v>61.856929999999998</v>
      </c>
      <c r="F30" s="21">
        <f>8.28043+52.9288</f>
        <v>61.209230000000005</v>
      </c>
      <c r="G30" s="21">
        <f>7.88974+47.5866</f>
        <v>55.476339999999993</v>
      </c>
      <c r="H30" s="21">
        <f>8.05941+49.5462</f>
        <v>57.605609999999999</v>
      </c>
      <c r="I30" s="21">
        <f>7.9111+47.1495</f>
        <v>55.060600000000001</v>
      </c>
      <c r="J30" s="21">
        <f>7.93306+49.8184</f>
        <v>57.751459999999994</v>
      </c>
      <c r="K30" s="21">
        <f>7.62933+47.1864</f>
        <v>54.815730000000002</v>
      </c>
      <c r="L30" s="21">
        <f>7.78718+47.2795</f>
        <v>55.066679999999998</v>
      </c>
      <c r="M30" s="21">
        <f>9.82881+47.3501</f>
        <v>57.178910000000002</v>
      </c>
      <c r="N30" s="22">
        <f t="shared" si="0"/>
        <v>58.26</v>
      </c>
    </row>
    <row r="31" spans="2:15" x14ac:dyDescent="0.35">
      <c r="B31" s="25"/>
      <c r="C31" s="17" t="s">
        <v>5</v>
      </c>
      <c r="D31" s="26" t="s">
        <v>40</v>
      </c>
      <c r="E31" s="26"/>
      <c r="F31" s="26"/>
      <c r="G31" s="26"/>
      <c r="H31" s="26"/>
      <c r="I31" s="26"/>
      <c r="J31" s="26"/>
      <c r="K31" s="26"/>
      <c r="L31" s="26"/>
      <c r="M31" s="26"/>
      <c r="N31" s="26"/>
    </row>
    <row r="32" spans="2:15" x14ac:dyDescent="0.35">
      <c r="B32" s="25"/>
      <c r="C32" s="18" t="s">
        <v>6</v>
      </c>
      <c r="D32" s="21">
        <f>18.9163+82.9782</f>
        <v>101.89449999999999</v>
      </c>
      <c r="E32" s="21">
        <f>10.1812+70.4114</f>
        <v>80.592600000000004</v>
      </c>
      <c r="F32" s="21">
        <f>8.38086+83.3015</f>
        <v>91.682360000000003</v>
      </c>
      <c r="G32" s="21">
        <f>8.00812+78.897</f>
        <v>86.905120000000011</v>
      </c>
      <c r="H32" s="21">
        <f>8.74169+74.1095</f>
        <v>82.851190000000003</v>
      </c>
      <c r="I32" s="21">
        <f>8.41426+77.4229</f>
        <v>85.837159999999997</v>
      </c>
      <c r="J32" s="21">
        <f>7.72331+85.443</f>
        <v>93.166309999999996</v>
      </c>
      <c r="K32" s="21">
        <f>7.81037+90.5624</f>
        <v>98.372770000000003</v>
      </c>
      <c r="L32" s="21">
        <f>8.49118+94.5913</f>
        <v>103.08248</v>
      </c>
      <c r="M32" s="21">
        <f>8.42706+84.0471</f>
        <v>92.474159999999998</v>
      </c>
      <c r="N32" s="22">
        <f t="shared" si="0"/>
        <v>91.69</v>
      </c>
    </row>
    <row r="33" spans="2:14" x14ac:dyDescent="0.35">
      <c r="B33" s="27" t="s">
        <v>5</v>
      </c>
      <c r="C33" s="17" t="s">
        <v>3</v>
      </c>
      <c r="D33" s="26" t="s">
        <v>40</v>
      </c>
      <c r="E33" s="26"/>
      <c r="F33" s="26"/>
      <c r="G33" s="26"/>
      <c r="H33" s="26"/>
      <c r="I33" s="26"/>
      <c r="J33" s="26"/>
      <c r="K33" s="26"/>
      <c r="L33" s="26"/>
      <c r="M33" s="26"/>
      <c r="N33" s="26"/>
    </row>
    <row r="34" spans="2:14" x14ac:dyDescent="0.35">
      <c r="B34" s="27"/>
      <c r="C34" s="18" t="s">
        <v>27</v>
      </c>
      <c r="D34" s="26" t="s">
        <v>40</v>
      </c>
      <c r="E34" s="26"/>
      <c r="F34" s="26"/>
      <c r="G34" s="26"/>
      <c r="H34" s="26"/>
      <c r="I34" s="26"/>
      <c r="J34" s="26"/>
      <c r="K34" s="26"/>
      <c r="L34" s="26"/>
      <c r="M34" s="26"/>
      <c r="N34" s="26"/>
    </row>
    <row r="35" spans="2:14" x14ac:dyDescent="0.35">
      <c r="B35" s="27"/>
      <c r="C35" s="17" t="s">
        <v>4</v>
      </c>
      <c r="D35" s="26" t="s">
        <v>40</v>
      </c>
      <c r="E35" s="26"/>
      <c r="F35" s="26"/>
      <c r="G35" s="26"/>
      <c r="H35" s="26"/>
      <c r="I35" s="26"/>
      <c r="J35" s="26"/>
      <c r="K35" s="26"/>
      <c r="L35" s="26"/>
      <c r="M35" s="26"/>
      <c r="N35" s="26"/>
    </row>
    <row r="36" spans="2:14" x14ac:dyDescent="0.35">
      <c r="B36" s="27"/>
      <c r="C36" s="18" t="s">
        <v>28</v>
      </c>
      <c r="D36" s="26" t="s">
        <v>40</v>
      </c>
      <c r="E36" s="26"/>
      <c r="F36" s="26"/>
      <c r="G36" s="26"/>
      <c r="H36" s="26"/>
      <c r="I36" s="26"/>
      <c r="J36" s="26"/>
      <c r="K36" s="26"/>
      <c r="L36" s="26"/>
      <c r="M36" s="26"/>
      <c r="N36" s="26"/>
    </row>
    <row r="37" spans="2:14" x14ac:dyDescent="0.35">
      <c r="B37" s="27"/>
      <c r="C37" s="17" t="s">
        <v>5</v>
      </c>
      <c r="D37" s="16">
        <f>123.536+92.4196</f>
        <v>215.9556</v>
      </c>
      <c r="E37" s="16">
        <f>106.265+95.0266</f>
        <v>201.29160000000002</v>
      </c>
      <c r="F37" s="16">
        <f>117.339+96.5588</f>
        <v>213.89780000000002</v>
      </c>
      <c r="G37" s="16">
        <f>115.121+98.0172</f>
        <v>213.13819999999998</v>
      </c>
      <c r="H37" s="16">
        <f>113.468+99.7326</f>
        <v>213.20060000000001</v>
      </c>
      <c r="I37" s="16">
        <f>115.391+99.2452</f>
        <v>214.6362</v>
      </c>
      <c r="J37" s="16">
        <f>124.757+95.1439</f>
        <v>219.90090000000001</v>
      </c>
      <c r="K37" s="16">
        <f>108.51+99.8834</f>
        <v>208.39339999999999</v>
      </c>
      <c r="L37" s="16">
        <f>106.056+96.7363</f>
        <v>202.79230000000001</v>
      </c>
      <c r="M37" s="16">
        <f>111.92+100.304</f>
        <v>212.22399999999999</v>
      </c>
      <c r="N37" s="16">
        <f t="shared" ref="N37" si="1">ROUND(AVERAGE(D37:M37),2)</f>
        <v>211.54</v>
      </c>
    </row>
    <row r="38" spans="2:14" x14ac:dyDescent="0.35">
      <c r="B38" s="27"/>
      <c r="C38" s="18" t="s">
        <v>6</v>
      </c>
      <c r="D38" s="26" t="s">
        <v>40</v>
      </c>
      <c r="E38" s="26"/>
      <c r="F38" s="26"/>
      <c r="G38" s="26"/>
      <c r="H38" s="26"/>
      <c r="I38" s="26"/>
      <c r="J38" s="26"/>
      <c r="K38" s="26"/>
      <c r="L38" s="26"/>
      <c r="M38" s="26"/>
      <c r="N38" s="26"/>
    </row>
    <row r="39" spans="2:14" x14ac:dyDescent="0.35">
      <c r="B39" s="25" t="s">
        <v>6</v>
      </c>
      <c r="C39" s="17" t="s">
        <v>3</v>
      </c>
      <c r="D39" s="21">
        <f>176.79+1.92078</f>
        <v>178.71078</v>
      </c>
      <c r="E39" s="21">
        <f>159.869+1.69784</f>
        <v>161.56684000000001</v>
      </c>
      <c r="F39" s="21">
        <f>157.727+1.65543</f>
        <v>159.38243</v>
      </c>
      <c r="G39" s="21">
        <f>137.472+1.7775</f>
        <v>139.24950000000001</v>
      </c>
      <c r="H39" s="21">
        <f>130.935+1.78927</f>
        <v>132.72426999999999</v>
      </c>
      <c r="I39" s="21">
        <f>128.382+1.90847</f>
        <v>130.29047</v>
      </c>
      <c r="J39" s="21">
        <f>134.215+1.80203</f>
        <v>136.01703000000001</v>
      </c>
      <c r="K39" s="21">
        <f>136.618+1.89763</f>
        <v>138.51562999999999</v>
      </c>
      <c r="L39" s="21">
        <f>129.217+2.35583</f>
        <v>131.57283000000001</v>
      </c>
      <c r="M39" s="21">
        <f>132.52+1.9007</f>
        <v>134.42070000000001</v>
      </c>
      <c r="N39" s="22">
        <f t="shared" ref="N39:N40" si="2">ROUND(AVERAGE(D39:M39),2)</f>
        <v>144.25</v>
      </c>
    </row>
    <row r="40" spans="2:14" x14ac:dyDescent="0.35">
      <c r="B40" s="25"/>
      <c r="C40" s="18" t="s">
        <v>27</v>
      </c>
      <c r="D40" s="21">
        <f>200.573+1.13074</f>
        <v>201.70374000000001</v>
      </c>
      <c r="E40" s="21">
        <f>180.86+1.01169</f>
        <v>181.87169</v>
      </c>
      <c r="F40" s="21">
        <f>170.696+0.817981</f>
        <v>171.513981</v>
      </c>
      <c r="G40" s="21">
        <f>158.11+0.849416</f>
        <v>158.959416</v>
      </c>
      <c r="H40" s="21">
        <f>158.618+0.884087</f>
        <v>159.50208699999999</v>
      </c>
      <c r="I40" s="21">
        <f>164.418+0.858976</f>
        <v>165.27697600000002</v>
      </c>
      <c r="J40" s="21">
        <f>161.137+0.93004</f>
        <v>162.06703999999999</v>
      </c>
      <c r="K40" s="21">
        <f>162.156+0.886212</f>
        <v>163.04221200000001</v>
      </c>
      <c r="L40" s="21">
        <f>155.012+0.939655</f>
        <v>155.95165499999999</v>
      </c>
      <c r="M40" s="21">
        <f>162.03+0.937189</f>
        <v>162.96718899999999</v>
      </c>
      <c r="N40" s="22">
        <f t="shared" si="2"/>
        <v>168.29</v>
      </c>
    </row>
    <row r="41" spans="2:14" x14ac:dyDescent="0.35">
      <c r="B41" s="25"/>
      <c r="C41" s="17" t="s">
        <v>4</v>
      </c>
      <c r="D41" s="26" t="s">
        <v>40</v>
      </c>
      <c r="E41" s="26"/>
      <c r="F41" s="26"/>
      <c r="G41" s="26"/>
      <c r="H41" s="26"/>
      <c r="I41" s="26"/>
      <c r="J41" s="26"/>
      <c r="K41" s="26"/>
      <c r="L41" s="26"/>
      <c r="M41" s="26"/>
      <c r="N41" s="26"/>
    </row>
    <row r="42" spans="2:14" x14ac:dyDescent="0.35">
      <c r="B42" s="25"/>
      <c r="C42" s="18" t="s">
        <v>28</v>
      </c>
      <c r="D42" s="21">
        <f>177.987+47.8696</f>
        <v>225.85659999999999</v>
      </c>
      <c r="E42" s="21">
        <f>163.434+48.0324</f>
        <v>211.46639999999999</v>
      </c>
      <c r="F42" s="21">
        <f>165.268+48.1055</f>
        <v>213.37350000000001</v>
      </c>
      <c r="G42" s="21">
        <f>160.388+47.8515</f>
        <v>208.23950000000002</v>
      </c>
      <c r="H42" s="21">
        <f>166.566+48.6354</f>
        <v>215.20140000000001</v>
      </c>
      <c r="I42" s="21">
        <f>162.14+48.2953</f>
        <v>210.43529999999998</v>
      </c>
      <c r="J42" s="21">
        <f>160.845+54.2953</f>
        <v>215.1403</v>
      </c>
      <c r="K42" s="21">
        <f>156.27+48.3802</f>
        <v>204.65020000000001</v>
      </c>
      <c r="L42" s="21">
        <f>173.962+49.3363</f>
        <v>223.29829999999998</v>
      </c>
      <c r="M42" s="21">
        <f>161.176+48.8717</f>
        <v>210.04769999999999</v>
      </c>
      <c r="N42" s="22">
        <f t="shared" ref="N42" si="3">ROUND(AVERAGE(D42:M42),2)</f>
        <v>213.77</v>
      </c>
    </row>
    <row r="43" spans="2:14" x14ac:dyDescent="0.35">
      <c r="B43" s="25"/>
      <c r="C43" s="17" t="s">
        <v>5</v>
      </c>
      <c r="D43" s="28" t="s">
        <v>40</v>
      </c>
      <c r="E43" s="29"/>
      <c r="F43" s="29"/>
      <c r="G43" s="29"/>
      <c r="H43" s="29"/>
      <c r="I43" s="29"/>
      <c r="J43" s="29"/>
      <c r="K43" s="29"/>
      <c r="L43" s="29"/>
      <c r="M43" s="29"/>
      <c r="N43" s="30"/>
    </row>
    <row r="44" spans="2:14" x14ac:dyDescent="0.35">
      <c r="B44" s="25"/>
      <c r="C44" s="18" t="s">
        <v>6</v>
      </c>
      <c r="D44" s="21">
        <f>201.916+137.924</f>
        <v>339.84000000000003</v>
      </c>
      <c r="E44" s="21">
        <f>145.72+103.473</f>
        <v>249.19299999999998</v>
      </c>
      <c r="F44" s="21">
        <f>157.754+91.643</f>
        <v>249.39699999999999</v>
      </c>
      <c r="G44" s="21">
        <f>138.447+101.269</f>
        <v>239.71600000000001</v>
      </c>
      <c r="H44" s="21">
        <f>138.573+98.9991</f>
        <v>237.57210000000001</v>
      </c>
      <c r="I44" s="21">
        <f>133.859+92.959</f>
        <v>226.81800000000001</v>
      </c>
      <c r="J44" s="21">
        <f>130.553+99.1955</f>
        <v>229.74849999999998</v>
      </c>
      <c r="K44" s="21">
        <f>130.524+94.9659</f>
        <v>225.48990000000001</v>
      </c>
      <c r="L44" s="21">
        <f>140.471+90.6361</f>
        <v>231.1071</v>
      </c>
      <c r="M44" s="21">
        <f>140.479+100.614</f>
        <v>241.09300000000002</v>
      </c>
      <c r="N44" s="22">
        <f t="shared" ref="N44" si="4">ROUND(AVERAGE(D44:M44),2)</f>
        <v>247</v>
      </c>
    </row>
  </sheetData>
  <mergeCells count="19">
    <mergeCell ref="B39:B44"/>
    <mergeCell ref="D41:N41"/>
    <mergeCell ref="D43:N43"/>
    <mergeCell ref="B21:B26"/>
    <mergeCell ref="D25:N25"/>
    <mergeCell ref="B27:B32"/>
    <mergeCell ref="D31:N31"/>
    <mergeCell ref="B33:B38"/>
    <mergeCell ref="D33:N33"/>
    <mergeCell ref="D34:N34"/>
    <mergeCell ref="D35:N35"/>
    <mergeCell ref="D36:N36"/>
    <mergeCell ref="D38:N38"/>
    <mergeCell ref="B3:B8"/>
    <mergeCell ref="D7:N7"/>
    <mergeCell ref="B9:B14"/>
    <mergeCell ref="D13:N13"/>
    <mergeCell ref="B15:B20"/>
    <mergeCell ref="D19:N19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MP7</vt:lpstr>
      <vt:lpstr>MP8</vt:lpstr>
      <vt:lpstr>MP9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phuc nguyen thi</dc:creator>
  <cp:lastModifiedBy>phuc nguyen thi</cp:lastModifiedBy>
  <dcterms:created xsi:type="dcterms:W3CDTF">2022-05-12T18:24:59Z</dcterms:created>
  <dcterms:modified xsi:type="dcterms:W3CDTF">2022-05-13T07:01:15Z</dcterms:modified>
</cp:coreProperties>
</file>